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https://anac.sharepoint.com/sites/ContrataoApoioTcnico2022/Documentos Compartilhados/General/"/>
    </mc:Choice>
  </mc:AlternateContent>
  <xr:revisionPtr revIDLastSave="6" documentId="8_{76007AAC-8454-461B-BD37-79ABE5BC7C5E}" xr6:coauthVersionLast="36" xr6:coauthVersionMax="47" xr10:uidLastSave="{0B0CDEFF-EE1C-4379-B26E-F22C2C1228ED}"/>
  <bookViews>
    <workbookView xWindow="23445" yWindow="1845" windowWidth="17280" windowHeight="8880" xr2:uid="{00000000-000D-0000-FFFF-FFFF00000000}"/>
  </bookViews>
  <sheets>
    <sheet name="Catálogo de Serviços Preço UST" sheetId="1" r:id="rId1"/>
    <sheet name="Horas estimadas" sheetId="3" r:id="rId2"/>
    <sheet name="Perfis profissionai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53" i="3" l="1"/>
  <c r="B153" i="3"/>
  <c r="C152" i="3"/>
  <c r="B152" i="3"/>
  <c r="C151" i="3"/>
  <c r="B151" i="3"/>
  <c r="E150" i="3"/>
  <c r="C150" i="3"/>
  <c r="B150" i="3"/>
  <c r="C149" i="3"/>
  <c r="B149" i="3"/>
  <c r="C148" i="3"/>
  <c r="B148" i="3"/>
  <c r="C147" i="3"/>
  <c r="B147" i="3"/>
  <c r="C146" i="3"/>
  <c r="B146" i="3"/>
  <c r="C145" i="3"/>
  <c r="B145" i="3"/>
  <c r="C144" i="3"/>
  <c r="B144" i="3"/>
  <c r="C143" i="3"/>
  <c r="B143" i="3"/>
  <c r="C142" i="3"/>
  <c r="B142" i="3"/>
  <c r="E141" i="3"/>
  <c r="C141" i="3"/>
  <c r="B141" i="3"/>
  <c r="C140" i="3"/>
  <c r="B140" i="3"/>
  <c r="C139" i="3"/>
  <c r="B139" i="3"/>
  <c r="C138" i="3"/>
  <c r="B138" i="3"/>
  <c r="C137" i="3"/>
  <c r="B137" i="3"/>
  <c r="C136" i="3"/>
  <c r="B136" i="3"/>
  <c r="C135" i="3"/>
  <c r="B135" i="3"/>
  <c r="C134" i="3"/>
  <c r="B134" i="3"/>
  <c r="C133" i="3"/>
  <c r="B133" i="3"/>
  <c r="E132" i="3"/>
  <c r="C132" i="3"/>
  <c r="B132" i="3"/>
  <c r="C131" i="3"/>
  <c r="B131" i="3"/>
  <c r="C130" i="3"/>
  <c r="B130" i="3"/>
  <c r="C129" i="3"/>
  <c r="B129" i="3"/>
  <c r="C128" i="3"/>
  <c r="B128" i="3"/>
  <c r="C127" i="3"/>
  <c r="B127" i="3"/>
  <c r="C126" i="3"/>
  <c r="B126" i="3"/>
  <c r="C125" i="3"/>
  <c r="B125" i="3"/>
  <c r="C124" i="3"/>
  <c r="B124" i="3"/>
  <c r="E123" i="3"/>
  <c r="C123" i="3"/>
  <c r="B123" i="3"/>
  <c r="E122" i="3"/>
  <c r="C122" i="3"/>
  <c r="B122" i="3"/>
  <c r="E121" i="3"/>
  <c r="C121" i="3"/>
  <c r="B121" i="3"/>
  <c r="C120" i="3"/>
  <c r="B120" i="3"/>
  <c r="C119" i="3"/>
  <c r="B119" i="3"/>
  <c r="C118" i="3"/>
  <c r="B118" i="3"/>
  <c r="C117" i="3"/>
  <c r="B117" i="3"/>
  <c r="C116" i="3"/>
  <c r="B116" i="3"/>
  <c r="C115" i="3"/>
  <c r="B115" i="3"/>
  <c r="E114" i="3"/>
  <c r="C114" i="3"/>
  <c r="B114" i="3"/>
  <c r="E113" i="3"/>
  <c r="C113" i="3"/>
  <c r="B113" i="3"/>
  <c r="E112" i="3"/>
  <c r="C112" i="3"/>
  <c r="B112" i="3"/>
  <c r="C111" i="3"/>
  <c r="B111" i="3"/>
  <c r="C110" i="3"/>
  <c r="B110" i="3"/>
  <c r="C109" i="3"/>
  <c r="B109" i="3"/>
  <c r="C108" i="3"/>
  <c r="B108" i="3"/>
  <c r="C107" i="3"/>
  <c r="B107" i="3"/>
  <c r="C106" i="3"/>
  <c r="B106" i="3"/>
  <c r="E105" i="3"/>
  <c r="C105" i="3"/>
  <c r="B105" i="3"/>
  <c r="E104" i="3"/>
  <c r="C104" i="3"/>
  <c r="B104" i="3"/>
  <c r="E103" i="3"/>
  <c r="C103" i="3"/>
  <c r="B103" i="3"/>
  <c r="C102" i="3"/>
  <c r="B102" i="3"/>
  <c r="C101" i="3"/>
  <c r="B101" i="3"/>
  <c r="E100" i="3"/>
  <c r="C100" i="3"/>
  <c r="B100" i="3"/>
  <c r="C99" i="3"/>
  <c r="B99" i="3"/>
  <c r="C98" i="3"/>
  <c r="B98" i="3"/>
  <c r="C97" i="3"/>
  <c r="B97" i="3"/>
  <c r="C96" i="3"/>
  <c r="B96" i="3"/>
  <c r="E95" i="3"/>
  <c r="C95" i="3"/>
  <c r="B95" i="3"/>
  <c r="C94" i="3"/>
  <c r="B94" i="3"/>
  <c r="C93" i="3"/>
  <c r="B93" i="3"/>
  <c r="C92" i="3"/>
  <c r="B92" i="3"/>
  <c r="C91" i="3"/>
  <c r="B91" i="3"/>
  <c r="C90" i="3"/>
  <c r="B90" i="3"/>
  <c r="C89" i="3"/>
  <c r="B89" i="3"/>
  <c r="E88" i="3"/>
  <c r="C88" i="3"/>
  <c r="B88" i="3"/>
  <c r="C87" i="3"/>
  <c r="B87" i="3"/>
  <c r="C86" i="3"/>
  <c r="B86" i="3"/>
  <c r="C85" i="3"/>
  <c r="B85" i="3"/>
  <c r="C84" i="3"/>
  <c r="B84" i="3"/>
  <c r="C83" i="3"/>
  <c r="B83" i="3"/>
  <c r="E82" i="3"/>
  <c r="C82" i="3"/>
  <c r="B82" i="3"/>
  <c r="C81" i="3"/>
  <c r="B81" i="3"/>
  <c r="C80" i="3"/>
  <c r="B80" i="3"/>
  <c r="C79" i="3"/>
  <c r="B79" i="3"/>
  <c r="C78" i="3"/>
  <c r="B78" i="3"/>
  <c r="C77" i="3"/>
  <c r="B77" i="3"/>
  <c r="E76" i="3"/>
  <c r="C76" i="3"/>
  <c r="B76" i="3"/>
  <c r="C75" i="3"/>
  <c r="B75" i="3"/>
  <c r="C74" i="3"/>
  <c r="B74" i="3"/>
  <c r="C73" i="3"/>
  <c r="B73" i="3"/>
  <c r="C72" i="3"/>
  <c r="B72" i="3"/>
  <c r="C71" i="3"/>
  <c r="B71" i="3"/>
  <c r="C70" i="3"/>
  <c r="B70" i="3"/>
  <c r="E69" i="3"/>
  <c r="C69" i="3"/>
  <c r="B69" i="3"/>
  <c r="C68" i="3"/>
  <c r="B68" i="3"/>
  <c r="C67" i="3"/>
  <c r="B67" i="3"/>
  <c r="E66" i="3"/>
  <c r="C66" i="3"/>
  <c r="B66" i="3"/>
  <c r="C65" i="3"/>
  <c r="B65" i="3"/>
  <c r="C64" i="3"/>
  <c r="B64" i="3"/>
  <c r="C63" i="3"/>
  <c r="B63" i="3"/>
  <c r="C62" i="3"/>
  <c r="B62" i="3"/>
  <c r="C61" i="3"/>
  <c r="B61" i="3"/>
  <c r="C60" i="3"/>
  <c r="B60" i="3"/>
  <c r="C59" i="3"/>
  <c r="B59" i="3"/>
  <c r="C58" i="3"/>
  <c r="B58" i="3"/>
  <c r="C57" i="3"/>
  <c r="B57" i="3"/>
  <c r="C56" i="3"/>
  <c r="B56" i="3"/>
  <c r="C55" i="3"/>
  <c r="B55" i="3"/>
  <c r="C54" i="3"/>
  <c r="B54" i="3"/>
  <c r="C53" i="3"/>
  <c r="B53" i="3"/>
  <c r="C52" i="3"/>
  <c r="B52" i="3"/>
  <c r="C51" i="3"/>
  <c r="B51" i="3"/>
  <c r="C50" i="3"/>
  <c r="B50" i="3"/>
  <c r="C49" i="3"/>
  <c r="B49" i="3"/>
  <c r="C48" i="3"/>
  <c r="B48" i="3"/>
  <c r="C47" i="3"/>
  <c r="B47" i="3"/>
  <c r="C46" i="3"/>
  <c r="B46" i="3"/>
  <c r="C45" i="3"/>
  <c r="B45" i="3"/>
  <c r="C44" i="3"/>
  <c r="B44" i="3"/>
  <c r="C43" i="3"/>
  <c r="B43" i="3"/>
  <c r="C42" i="3"/>
  <c r="B42" i="3"/>
  <c r="C41" i="3"/>
  <c r="B41" i="3"/>
  <c r="C40" i="3"/>
  <c r="B40" i="3"/>
  <c r="C39" i="3"/>
  <c r="B39" i="3"/>
  <c r="C38" i="3"/>
  <c r="B38" i="3"/>
  <c r="C37" i="3"/>
  <c r="B37" i="3"/>
  <c r="C36" i="3"/>
  <c r="B36" i="3"/>
  <c r="C35" i="3"/>
  <c r="B35" i="3"/>
  <c r="C34" i="3"/>
  <c r="B34" i="3"/>
  <c r="C33" i="3"/>
  <c r="B33" i="3"/>
  <c r="C32" i="3"/>
  <c r="B32" i="3"/>
  <c r="C31" i="3"/>
  <c r="B31" i="3"/>
  <c r="C30" i="3"/>
  <c r="B30" i="3"/>
  <c r="C29" i="3"/>
  <c r="B29" i="3"/>
  <c r="C28" i="3"/>
  <c r="B28" i="3"/>
  <c r="C27" i="3"/>
  <c r="B27" i="3"/>
  <c r="C26" i="3"/>
  <c r="B26" i="3"/>
  <c r="C25" i="3"/>
  <c r="B25" i="3"/>
  <c r="C24" i="3"/>
  <c r="B24" i="3"/>
  <c r="C23" i="3"/>
  <c r="B23" i="3"/>
  <c r="C22" i="3"/>
  <c r="B22" i="3"/>
  <c r="C21" i="3"/>
  <c r="B21" i="3"/>
  <c r="C20" i="3"/>
  <c r="B20" i="3"/>
  <c r="C19" i="3"/>
  <c r="B19" i="3"/>
  <c r="C18" i="3"/>
  <c r="B18" i="3"/>
  <c r="C17" i="3"/>
  <c r="B17" i="3"/>
  <c r="C16" i="3"/>
  <c r="B16" i="3"/>
  <c r="C15" i="3"/>
  <c r="B15" i="3"/>
  <c r="E14" i="3"/>
  <c r="C14" i="3"/>
  <c r="B14" i="3"/>
  <c r="C13" i="3"/>
  <c r="B13" i="3"/>
  <c r="C12" i="3"/>
  <c r="B12" i="3"/>
  <c r="C11" i="3"/>
  <c r="B11" i="3"/>
  <c r="C10" i="3"/>
  <c r="B10" i="3"/>
  <c r="C9" i="3"/>
  <c r="B9" i="3"/>
  <c r="C8" i="3"/>
  <c r="B8" i="3"/>
  <c r="C7" i="3"/>
  <c r="B7" i="3"/>
  <c r="C6" i="3"/>
  <c r="B6" i="3"/>
  <c r="I5" i="3"/>
  <c r="J5" i="3" s="1"/>
  <c r="C5" i="3"/>
  <c r="B5" i="3"/>
  <c r="C4" i="3"/>
  <c r="B4" i="3"/>
  <c r="C3" i="3"/>
  <c r="B3" i="3"/>
  <c r="H29" i="1"/>
  <c r="H28" i="1"/>
  <c r="H27" i="1"/>
  <c r="K26" i="1"/>
  <c r="Q26" i="1" s="1"/>
  <c r="H26" i="1"/>
  <c r="K25" i="1"/>
  <c r="Q25" i="1" s="1"/>
  <c r="H25" i="1"/>
  <c r="K24" i="1"/>
  <c r="Q24" i="1" s="1"/>
  <c r="H24" i="1"/>
  <c r="H23" i="1"/>
  <c r="H22" i="1"/>
  <c r="H21" i="1"/>
  <c r="H20" i="1"/>
  <c r="H19" i="1"/>
  <c r="H18" i="1"/>
  <c r="H17" i="1"/>
  <c r="H16" i="1"/>
  <c r="H15" i="1"/>
  <c r="H14" i="1"/>
  <c r="H13" i="1"/>
  <c r="H12" i="1"/>
  <c r="H11" i="1"/>
  <c r="H10" i="1"/>
  <c r="H9" i="1"/>
  <c r="H8" i="1"/>
  <c r="H7" i="1"/>
  <c r="H6" i="1"/>
  <c r="H5" i="1"/>
  <c r="H4" i="1"/>
  <c r="I7" i="1" l="1"/>
  <c r="J7" i="1" s="1"/>
  <c r="I28" i="1"/>
  <c r="N28" i="1" s="1"/>
  <c r="I10" i="1"/>
  <c r="J10" i="1" s="1"/>
  <c r="I17" i="1"/>
  <c r="N17" i="1" s="1"/>
  <c r="I25" i="1"/>
  <c r="L25" i="1" s="1"/>
  <c r="I8" i="1"/>
  <c r="J8" i="1" s="1"/>
  <c r="I22" i="1"/>
  <c r="N22" i="1" s="1"/>
  <c r="I19" i="1"/>
  <c r="L19" i="1" s="1"/>
  <c r="I27" i="1"/>
  <c r="L27" i="1" s="1"/>
  <c r="I9" i="1"/>
  <c r="J9" i="1" s="1"/>
  <c r="I11" i="1"/>
  <c r="N11" i="1" s="1"/>
  <c r="I29" i="1"/>
  <c r="J29" i="1" s="1"/>
  <c r="I5" i="1"/>
  <c r="J5" i="1" s="1"/>
  <c r="I16" i="1"/>
  <c r="J16" i="1" s="1"/>
  <c r="I23" i="1"/>
  <c r="J23" i="1" s="1"/>
  <c r="I13" i="1"/>
  <c r="N13" i="1" s="1"/>
  <c r="I20" i="1"/>
  <c r="J20" i="1" s="1"/>
  <c r="I12" i="1"/>
  <c r="L12" i="1" s="1"/>
  <c r="I4" i="1"/>
  <c r="N4" i="1" s="1"/>
  <c r="I14" i="1"/>
  <c r="L14" i="1" s="1"/>
  <c r="I26" i="1"/>
  <c r="N26" i="1" s="1"/>
  <c r="I6" i="1"/>
  <c r="L6" i="1" s="1"/>
  <c r="I15" i="1"/>
  <c r="L15" i="1" s="1"/>
  <c r="I18" i="1"/>
  <c r="L18" i="1" s="1"/>
  <c r="I21" i="1"/>
  <c r="L21" i="1" s="1"/>
  <c r="I24" i="1"/>
  <c r="L24" i="1" s="1"/>
  <c r="J28" i="1"/>
  <c r="L28" i="1" l="1"/>
  <c r="N19" i="1"/>
  <c r="J19" i="1"/>
  <c r="M19" i="1" s="1"/>
  <c r="J27" i="1"/>
  <c r="P27" i="1" s="1"/>
  <c r="Q27" i="1" s="1"/>
  <c r="L23" i="1"/>
  <c r="N27" i="1"/>
  <c r="N7" i="1"/>
  <c r="L7" i="1"/>
  <c r="L10" i="1"/>
  <c r="N9" i="1"/>
  <c r="N25" i="1"/>
  <c r="J25" i="1"/>
  <c r="M25" i="1" s="1"/>
  <c r="J17" i="1"/>
  <c r="M17" i="1" s="1"/>
  <c r="L17" i="1"/>
  <c r="J4" i="1"/>
  <c r="P4" i="1" s="1"/>
  <c r="Q4" i="1" s="1"/>
  <c r="N23" i="1"/>
  <c r="L22" i="1"/>
  <c r="L16" i="1"/>
  <c r="L5" i="1"/>
  <c r="J22" i="1"/>
  <c r="P22" i="1" s="1"/>
  <c r="Q22" i="1" s="1"/>
  <c r="N5" i="1"/>
  <c r="N10" i="1"/>
  <c r="L4" i="1"/>
  <c r="N16" i="1"/>
  <c r="N14" i="1"/>
  <c r="J14" i="1"/>
  <c r="M14" i="1" s="1"/>
  <c r="N8" i="1"/>
  <c r="L8" i="1"/>
  <c r="J12" i="1"/>
  <c r="P12" i="1" s="1"/>
  <c r="Q12" i="1" s="1"/>
  <c r="L29" i="1"/>
  <c r="N29" i="1"/>
  <c r="J11" i="1"/>
  <c r="M11" i="1" s="1"/>
  <c r="J26" i="1"/>
  <c r="M26" i="1" s="1"/>
  <c r="N12" i="1"/>
  <c r="L26" i="1"/>
  <c r="L20" i="1"/>
  <c r="L9" i="1"/>
  <c r="J13" i="1"/>
  <c r="M13" i="1" s="1"/>
  <c r="L13" i="1"/>
  <c r="N20" i="1"/>
  <c r="L11" i="1"/>
  <c r="J21" i="1"/>
  <c r="M21" i="1" s="1"/>
  <c r="N24" i="1"/>
  <c r="N21" i="1"/>
  <c r="N18" i="1"/>
  <c r="N15" i="1"/>
  <c r="N6" i="1"/>
  <c r="J24" i="1"/>
  <c r="M24" i="1" s="1"/>
  <c r="J6" i="1"/>
  <c r="M6" i="1" s="1"/>
  <c r="J18" i="1"/>
  <c r="M18" i="1" s="1"/>
  <c r="J15" i="1"/>
  <c r="P15" i="1" s="1"/>
  <c r="Q15" i="1" s="1"/>
  <c r="M16" i="1"/>
  <c r="P16" i="1"/>
  <c r="Q16" i="1" s="1"/>
  <c r="M23" i="1"/>
  <c r="P23" i="1"/>
  <c r="Q23" i="1" s="1"/>
  <c r="M5" i="1"/>
  <c r="P5" i="1"/>
  <c r="Q5" i="1" s="1"/>
  <c r="M28" i="1"/>
  <c r="P28" i="1"/>
  <c r="Q28" i="1" s="1"/>
  <c r="M10" i="1"/>
  <c r="P10" i="1"/>
  <c r="Q10" i="1" s="1"/>
  <c r="M20" i="1"/>
  <c r="P20" i="1"/>
  <c r="Q20" i="1" s="1"/>
  <c r="M7" i="1"/>
  <c r="P7" i="1"/>
  <c r="Q7" i="1" s="1"/>
  <c r="M9" i="1"/>
  <c r="P9" i="1"/>
  <c r="Q9" i="1" s="1"/>
  <c r="M8" i="1"/>
  <c r="P8" i="1"/>
  <c r="Q8" i="1" s="1"/>
  <c r="M29" i="1"/>
  <c r="P29" i="1"/>
  <c r="Q29" i="1" s="1"/>
  <c r="M27" i="1" l="1"/>
  <c r="P19" i="1"/>
  <c r="Q19" i="1" s="1"/>
  <c r="M12" i="1"/>
  <c r="M22" i="1"/>
  <c r="P17" i="1"/>
  <c r="Q17" i="1" s="1"/>
  <c r="M4" i="1"/>
  <c r="L30" i="1"/>
  <c r="P14" i="1"/>
  <c r="Q14" i="1" s="1"/>
  <c r="P13" i="1"/>
  <c r="Q13" i="1" s="1"/>
  <c r="P11" i="1"/>
  <c r="Q11" i="1" s="1"/>
  <c r="P21" i="1"/>
  <c r="Q21" i="1" s="1"/>
  <c r="M15" i="1"/>
  <c r="P6" i="1"/>
  <c r="Q6" i="1" s="1"/>
  <c r="P18" i="1"/>
  <c r="Q18" i="1" s="1"/>
  <c r="M30" i="1" l="1"/>
  <c r="Q3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Alexandre Magnus Fernandes Diniz</author>
  </authors>
  <commentList>
    <comment ref="K18" authorId="0" shapeId="0" xr:uid="{82B96CA1-BFE0-4D36-AB66-CB1EC43B219A}">
      <text>
        <r>
          <rPr>
            <b/>
            <sz val="9"/>
            <rFont val="Segoe UI"/>
            <family val="2"/>
          </rPr>
          <t>Alexandre Magnus Fernandes Diniz:</t>
        </r>
        <r>
          <rPr>
            <sz val="9"/>
            <rFont val="Segoe UI"/>
            <family val="2"/>
          </rPr>
          <t xml:space="preserve">
10 demandas, 
200 tabelas</t>
        </r>
      </text>
    </comment>
    <comment ref="K19" authorId="0" shapeId="0" xr:uid="{5A7EEC13-6240-40CD-8960-98D0DB91CC73}">
      <text>
        <r>
          <rPr>
            <b/>
            <sz val="9"/>
            <rFont val="Segoe UI"/>
            <family val="2"/>
          </rPr>
          <t>Alexandre Magnus Fernandes Diniz:</t>
        </r>
        <r>
          <rPr>
            <sz val="9"/>
            <rFont val="Segoe UI"/>
            <family val="2"/>
          </rPr>
          <t xml:space="preserve">
10 demandas, 
200 tabelas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Jose Assumpção Rodrigues de Almeida</author>
  </authors>
  <commentList>
    <comment ref="E21" authorId="0" shapeId="0" xr:uid="{BD44A329-9363-46CD-B091-9E514CF065E7}">
      <text>
        <r>
          <rPr>
            <b/>
            <sz val="9"/>
            <rFont val="Segoe UI"/>
            <family val="2"/>
          </rPr>
          <t>Analisar se é melhor dividir pelo tamanho do parecer (mesma coisa para a elaboração de diretrizes e procedimentos</t>
        </r>
      </text>
    </comment>
    <comment ref="E34" authorId="0" shapeId="0" xr:uid="{57DFA2C6-7D55-4538-87B9-10EE03B13176}">
      <text>
        <r>
          <rPr>
            <b/>
            <sz val="9"/>
            <rFont val="Segoe UI"/>
            <family val="2"/>
          </rPr>
          <t>Quantitativo usando 5 tabelas de referência</t>
        </r>
      </text>
    </comment>
    <comment ref="E69" authorId="0" shapeId="0" xr:uid="{6E372542-E0EF-4642-BD4E-E17096E4EE0D}">
      <text>
        <r>
          <rPr>
            <b/>
            <sz val="9"/>
            <rFont val="Segoe UI"/>
            <family val="2"/>
          </rPr>
          <t>por tabela</t>
        </r>
      </text>
    </comment>
    <comment ref="E70" authorId="0" shapeId="0" xr:uid="{4649EC6E-3110-43FF-BCA0-343A587AD609}">
      <text>
        <r>
          <rPr>
            <b/>
            <sz val="9"/>
            <rFont val="Segoe UI"/>
            <family val="2"/>
          </rPr>
          <t>por tabela</t>
        </r>
      </text>
    </comment>
  </commentList>
</comments>
</file>

<file path=xl/sharedStrings.xml><?xml version="1.0" encoding="utf-8"?>
<sst xmlns="http://schemas.openxmlformats.org/spreadsheetml/2006/main" count="544" uniqueCount="228">
  <si>
    <t>Catálogo com detalhamento e valores dos serviços calculados com base no valor de UST ofertada no Pregão.</t>
  </si>
  <si>
    <t>Preencher o valor de UST ofertado no Pregão &gt;&gt;&gt;</t>
  </si>
  <si>
    <t>ID</t>
  </si>
  <si>
    <t>Segmento</t>
  </si>
  <si>
    <t>Itens do serviço</t>
  </si>
  <si>
    <t>Definição do produto esperado</t>
  </si>
  <si>
    <t>Atividades Esperadas</t>
  </si>
  <si>
    <t>Parâmetro</t>
  </si>
  <si>
    <t>Perfil de profissional</t>
  </si>
  <si>
    <t>Fator Senioridade (fator de ajuste)</t>
  </si>
  <si>
    <t>Esforço em horas (horas estimadas)</t>
  </si>
  <si>
    <t xml:space="preserve">Quantidade de UST </t>
  </si>
  <si>
    <t>Estimativa de execução em 12 meses</t>
  </si>
  <si>
    <t>Quantidade de horas para 12 meses</t>
  </si>
  <si>
    <t>Quantidade de UST para 12 meses</t>
  </si>
  <si>
    <t>Prazo para execução do Serviço (horas úteis)</t>
  </si>
  <si>
    <t>Justificativa para a quantidade prevista</t>
  </si>
  <si>
    <t>Valor estimado do serviço com base no valor ofertado no Pregão</t>
  </si>
  <si>
    <t>Valor estimado dos serviços em 12 meses com base no valor ofertado no Pregão</t>
  </si>
  <si>
    <t>1.01</t>
  </si>
  <si>
    <t>Dados em SGBD</t>
  </si>
  <si>
    <t>Apoiar a ELABORAÇÃO e divulgação de Documento de Diretrizes relacionado com a Governança de Dados</t>
  </si>
  <si>
    <t>Documento de diretrizes criado, divulgado e possível de ser utilizado</t>
  </si>
  <si>
    <t>Levantamento de requisitos
Levantamento de ativos de processos organizacionais
Elaboração do documento de diretriz
Apresentação para aprovação (homologação)
Versionar produto, registro em sistema de gerenciamento específico ou de configuração, conforme o caso aplicável;</t>
  </si>
  <si>
    <t>Por documento</t>
  </si>
  <si>
    <t>DBA - Sênior</t>
  </si>
  <si>
    <t>3 diretrizes construídas durante o período avaliado</t>
  </si>
  <si>
    <t>1.02</t>
  </si>
  <si>
    <t>Apoiar a ELABORAÇÃO e divulgação de Documento de procedimentos relacionado a Governança de informações digitais</t>
  </si>
  <si>
    <t>Apoiar o mapeamento, melhoria, construção, documentação e divulgação de processos de gestão de informações digitais.</t>
  </si>
  <si>
    <t>Levantamento de requisitos
Levantamento de ativos de processos organizacionais
Elaboração do documento de procedimentos
Apresentação para aprovação (homologação)
Versionar produto, registro em sistema de gerenciamento específico ou de configuração, conforme o caso aplicável;</t>
  </si>
  <si>
    <t>Por processo</t>
  </si>
  <si>
    <t>Meta da área: desenvolvimento de 2 processos de governança por ano</t>
  </si>
  <si>
    <t>1.03</t>
  </si>
  <si>
    <t>Apoiar a ALTERAÇÃO e divulgação de Documento de procedimentos relacionado a Governança de informações digitais</t>
  </si>
  <si>
    <t>Manter o mapeamento, melhoria, construção, documentação e divulgação de processos de gestão de informações digitais.</t>
  </si>
  <si>
    <t>Levantamento de requisitos
Alterar o produto
Apresentação para aprovação (homologação)
Versionar produto, registro em sistema de gerenciamento específico ou de configuração, registro conclusivo do resultado da verificação,  conforme o caso aplicável</t>
  </si>
  <si>
    <t>1.04</t>
  </si>
  <si>
    <t>Apoiar a ELABORAÇÃO de parecer técnico a respeito de questão técnica relacionada com a gestão de informações digitais</t>
  </si>
  <si>
    <t>Parecer orientativo sobre tema técnico envolvendo governança ou gestão de informações digitais (software, processo, melhor prática, ambiente tecnológico, perfil técnico, tendência tecnológica, conhecimento técnico)</t>
  </si>
  <si>
    <t>Levantamento de requisitos
Levantamento de ativos de processos organizacionais
Elaboração do parecer
Apresentação para aprovação
Versionar produto, registro em sistema de gerenciamento específico ou de configuração, conforme o caso aplicável;</t>
  </si>
  <si>
    <t>executados 7 pareceres no período avaliado, previsão de 20% de acréscimo</t>
  </si>
  <si>
    <t>1.05</t>
  </si>
  <si>
    <t>Apoiar na resolução de questão técnica  relacionada direta ou indiretamente ao ambiente tecnológico de gestão de informações digitais, de alta complexidade
O problema a ser solucionado deverá ser compatível com o perfil técnico de um DBA Senior;</t>
  </si>
  <si>
    <t xml:space="preserve">Resolução de problema, por meio de forum multidisciplinar, envolvendo diretamente ou subsidiariamente o ambiente tecnológico da gestão de informações digitais; 
Registro da situação alvo da solução (o problema) e do resultado decorrente do apoio (a solução) por meio de Relatório ou em sistema informatizado disciplinado pela STI;
O problema a ser solucionado deverá ser compatível com o perfil técnico de um DBA Senior;
</t>
  </si>
  <si>
    <t>Reunião com equipes envolvidas;
Análise de causa raiz;
Intervenção em configuração de ambiente ou, se impedido por questões de fronteira contratual, registro orientativo para intervenção em ambiente contíguo;
Elaboração de ata de reuniões e de relatório das atividades, contendo, inclusive, recomendações de melhoria, caso pertinente.</t>
  </si>
  <si>
    <t>Por evento</t>
  </si>
  <si>
    <t>aproximadamente 20% das publicações em produção necessitam interação com outras equipes</t>
  </si>
  <si>
    <t>1.06</t>
  </si>
  <si>
    <t>Apoiar na resolução de questão técnica  relacionada direta ou indiretamente ao ambiente tecnológico de gestão de informações digitais, de baixa complexidade
O problema a ser solucionado deverá ser compatível com o perfil técnico de um DBA Junior;</t>
  </si>
  <si>
    <t xml:space="preserve">Resolução de problema, por meio de forum multidisciplinar, envolvendo diretamente ou subsidiariamente o ambiente tecnológico da gestão de informações digitais; 
Registro da situação alvo da solução (o problema) e do resultado decorrente do apoio (a solução) por meio de Relatório ou em sistema informatizado disciplinado pela STI;
O problema a ser solucionado deverá ser compatível com o perfil técnico de um DBA Junior;
</t>
  </si>
  <si>
    <t>DBA  - Júnior</t>
  </si>
  <si>
    <t>1.07</t>
  </si>
  <si>
    <t>Apoiar na resolução de questão técnica  relacionada  direta ou indiretamente ao ambiente tecnológico de gestão de informações digitais, de média complexidade
O problema a ser solucionado deverá ser compatível com o perfil técnico de um DBA Pleno;</t>
  </si>
  <si>
    <t xml:space="preserve">Resolução de problema, por meio de forum multidisciplinar, envolvendo diretamente ou subsidiariamente o ambiente tecnológico da gestão de informações digitais; 
Registro da situação alvo da solução (o problema) e do resultado decorrente do apoio (a solução) por meio de Relatório ou em sistema informatizado disciplinado pela STI;
O problema a ser solucionado deverá ser compatível com o perfil técnico de um DBA Pleno;
</t>
  </si>
  <si>
    <t>DBA - Pleno</t>
  </si>
  <si>
    <t>1.08</t>
  </si>
  <si>
    <t>Elaborar script de banco de dados com a existência de modelo ou documentação suficiente</t>
  </si>
  <si>
    <t>Tratamento de dados em SGBD por meio de scripts em SQL em conformidade com diretriz de banco de dados.</t>
  </si>
  <si>
    <t>Levantamento de ativos de processos organizacionais
Elaborar script - aplicar multiplicador/fator 2.5 (hora) para cada conjunto de até 5 tabelas.
Apresentação do produto para homologação
Versionar produto, registro em sistema de gerenciamento específico ou de configuração, conforme o caso aplicável;
Providenciar a publicação ou execução em produção</t>
  </si>
  <si>
    <t>Por script</t>
  </si>
  <si>
    <t>estimativa de 5 execuções</t>
  </si>
  <si>
    <t>1.09</t>
  </si>
  <si>
    <t>Elaborar script de banco de dados sem documentação suficiente</t>
  </si>
  <si>
    <t>Levantamento de requisitos
Levantamento de ativos de processos organizacionais
Elaborar script - aplicar multiplicador/fator 2.5 (hora) para cada conjunto de até 5 tabelas.
Apresentação do produto para homologação
Versionar produto, registro em sistema de gerenciamento específico ou de configuração, conforme o caso aplicável;
Providenciar a publicação em produção</t>
  </si>
  <si>
    <t>9 execuções durante o período de 2019 a 2021</t>
  </si>
  <si>
    <t>1.10</t>
  </si>
  <si>
    <t>Levantamento de Necessidades de Negócio ou necessidade técnica vinculada a Governança de dados, de alta complexidade
O problema a ser solucionado deverá ser compatível com o perfil técnico de um DBA Senior;</t>
  </si>
  <si>
    <t xml:space="preserve">Obtenção de subsídios técnicos para tomada de decisão sobre solução a ser disponibilizada, relacionada a questão de gestão de governança de informações digitais.
</t>
  </si>
  <si>
    <t>Reunião com equipes envolvidas;
Análise de causa raiz, requisitos ou necessidades;
Elaboração de documento de requisitos ou de necessidade técnica ou de negócio
Apresentação do resultado para homologação.
Elaboração de registro de recomendação de solução; elaboração de ata de reunião, versionar produto, registro em sistema de gerenciamento específico ou de configuração, conforme o caso aplicável;</t>
  </si>
  <si>
    <t>média 4 anos: 10 + 20% = 12</t>
  </si>
  <si>
    <t>1.11</t>
  </si>
  <si>
    <t>Levantamento de Necessidades de Negócio ou necessidade técnica vinculada a Governança de dados, de média complexidade
O problema a ser solucionado deverá ser compatível com o perfil técnico de um DBA Pleno;</t>
  </si>
  <si>
    <t>Reunião com equipes envolvidas;
Análise de causa raiz, requisitos ou necessidades;
Elaboração de documento de requisitos ou de necessidades de negócio
Apresentação do resultado para homologação.
Elaboração de registro de recomendação de solução; elaboração de ata de reunião, versionar produto, registro em sistema de gerenciamento específico ou de configuração, conforme o caso aplicável;</t>
  </si>
  <si>
    <t>média 4 anos: 20 + 20% = 24</t>
  </si>
  <si>
    <t>1.12</t>
  </si>
  <si>
    <t>Levantamento de Necessidades de Negócio ou necessidade técnica vinculada a Governança de dados, de baixa complexidade
O problema a ser solucionado deverá ser compatível com o perfil técnico de um DBA Junior;</t>
  </si>
  <si>
    <t>Obtenção de subsídios técnicos para tomada de decisão sobre solução a ser disponibilizada, relacionada a questão de gestão de governança de informações digitais.</t>
  </si>
  <si>
    <t>média 4 anos: 25 + 20% = 30</t>
  </si>
  <si>
    <t>1.13</t>
  </si>
  <si>
    <t>Realizar inspeção de governança de dados de produto de acordo com o Documento de Diretrizes de Inspeção - baixa complexidade</t>
  </si>
  <si>
    <t>Minimizar risco de desconformidade causada por descumprimento de diretriz em ambiente de banco de dados</t>
  </si>
  <si>
    <t xml:space="preserve">Analise do produto,  registro de proposição de melhoria, caso pertinente
Versionar produto, registro em sistema de gerenciamento específico ou de configuração, registro conclusivo do resultado da verificação,  conforme o caso aplicável; </t>
  </si>
  <si>
    <t>Por checklist de Produto</t>
  </si>
  <si>
    <t>Complexidade baixa: 1804
Complexidade alta: 1463
451 e 366
  1804
+ 1463
*1,1 = 3600/4=900, 
500 e 400</t>
  </si>
  <si>
    <t>1.14</t>
  </si>
  <si>
    <t>Realizar inspeção de governança de dados de produto de acordo com o Documento de Diretrizes de Inspeção - alta complexidade</t>
  </si>
  <si>
    <t xml:space="preserve">Análise do produto
Versionar produto, registro em sistema de gerenciamento específico ou de configuração, registro conclusivo do resultado da verificação,  conforme o caso aplicável; </t>
  </si>
  <si>
    <t>1.15</t>
  </si>
  <si>
    <t>Construir análise de qualidade de dados (adicionar ao total de horas das atividades fixas 0,5 horas por tabela a ser analisada)</t>
  </si>
  <si>
    <t>Identificar lacunas de qualidade de dados com base em critérios préestabelecidos em processo de melhoria de qualidade de dados.</t>
  </si>
  <si>
    <t>Análise de requisitos
Análise de ativos de processo organizacional
Elaboração de relatório técnico sobre gap de qualidade, fator 0,5 (hora) por tabela a ser analisada. Versionar produto, registro em sistema de gerenciamento específico ou de configuração, conforme o caso aplicável; 
Apresentação do produto para homologação</t>
  </si>
  <si>
    <t>Por relatório/tabelas</t>
  </si>
  <si>
    <t>20%  dos conjuntos de dados do PDA + PDI (10) com necessidade de rotina de qualidade, considerar média de 20 tabelas por conjunto de dados. Adotou-se para estimativa de catálogo média de 20 tabelas por relatório.</t>
  </si>
  <si>
    <t>1.16</t>
  </si>
  <si>
    <t>Construir rotina de qualidade de dados  (adicionar ao total de horas das atividades fixas 1,0 hora por tabela tratada)</t>
  </si>
  <si>
    <t>Manter integridade, confiabilidade e utilidade dos dados aos usuários consumidores desses dados em alinhamento com critérios préestabelecidos em processo de melhoria de qualidade de dados</t>
  </si>
  <si>
    <t>Análise da avaliação de qualidade de dados (fixa)
construção de mecanismos técnicos para melhoria da qualidade. fator 1 (hora) para cada tabela alvo de script específico. Versionar produto, registro em sistema de gerenciamento específico ou de configuração, conforme o caso aplicável; 
Versionar produto, registro em sistema de gerenciamento específico ou de configuração, conforme o caso aplicável; 
Disponibilização do produto para homologação (fixa)
Atualização de dados de indicadores de qualidade, versionar produto, registro em sistema de gerenciamento específico ou de configuração, conforme o caso aplicável (fixa); 
Providenciar a publicação em produção(fixa).</t>
  </si>
  <si>
    <t>Por rotina/tabelas</t>
  </si>
  <si>
    <t>20%  dos conjuntos de dados do PDA + PDI (10) com necessidade de rotina de qualidade, considerar média de 20 tabelas por conjunto de dados. Adotou-se para estimativa de catálogo média de 20 tabelas tratamento.</t>
  </si>
  <si>
    <t>1.17</t>
  </si>
  <si>
    <t xml:space="preserve">Construir processo de ETL com necessidade de alinhamento ou refinamento de requisitos  (adicionar ao total de horas das atividades fixas 5,3 horas multiplicado pelo somatório de arquivos ou tabelas de origem e de destino, ou seja, total de horas = qtd de horas fixas + 5,3 * (qtd de arquivos ou tabelas de origem + qtd de arquivos ou tabelas de destino)) </t>
  </si>
  <si>
    <t>Documento de mapeamento
Evidências da contrução e execução do processo
Homologação do processo
Versionamento da rotina
Evidência de execução em produção</t>
  </si>
  <si>
    <t>Levantamento de requisitos (fixo)
Levantamento de ativos de processos organizacionais (fixo)
Elaboração do produto - para definição do fator, contam-se somente os arquivos na orígem e destino, representações intermediárias são ignoradas  (adicionar ao total de horas das atividades fixas 5,3 horas multiplicado pelo somatório de arquivos ou tabelas de origem e de destino, ou seja, total de horas = qtd de horas fixas + 5,3 * (qtd de arquivos ou tabelas de origem + qtd de arquivos ou tabelas de destino)). Vários arquivos com o mesmo formato, bem como views ou consultas prontas e disponibilizadas pela contratante são contados como somente 1 arquivo. Listagem de diretório é contada como 1 arquivo. Carga ou leitura de informações desestruturadas são contadas como 1 tabela para cada fonte de dados 
Provindenciar publicação do produto para homologação (fixo)
Versionar produto, registro em sistema de gerenciamento específico ou de configuração, conforme o caso aplicável (fixo); 
Providenciar a publicação em produção (fixo)</t>
  </si>
  <si>
    <t>Por processo de ETL</t>
  </si>
  <si>
    <t>((Média dos registro das execuções entre 2018 a 2021 + 20%) /2) + PDI. Adotou-se para estimativa de catálogo média de 20 tabelas por ETL. 
PDA: 20
PDI: 29
divisão por dois: 50% sem necessidade de alinhamento e 50% com necessidade de alinhamento
Adotou-se para estimativa de catálogo média de 8 tabelas por ETL.</t>
  </si>
  <si>
    <t>1.18</t>
  </si>
  <si>
    <t xml:space="preserve">Construir processo de ETL SEM necessidade de alinhamento ou refinamento de requisitos  (adicionar ao total de horas das atividades fixas 5,3 horas multiplicado pelo somatório de arquivos ou tabelas de origem e de destino, ou seja, total de horas = qtd de horas fixas + 5,3 * (qtd de arquivos ou tabelas de origem + qtd de arquivos ou tabelas de destino)) </t>
  </si>
  <si>
    <t>Levantamento de requisitos (fixo)
Levantamento de ativos de processos organizacionais (fixo)
"Elaboração do produto - para definição do fator, contam-se somente os arquivos na orígem e destino, representações intermediárias são ignoradas  (adicionar ao total de horas das atividades fixas 5,3 horas multiplicado pelo somatório de arquivos ou tabelas de origem e de destino, ou seja, total de horas = qtd de horas fixas + 5,3 * (qtd de arquivos ou tabelas de origem + qtd de arquivos ou tabelas de destino)). Vários arquivos com o mesmo formato são contados como somente 1 arquivo. Listagem de diretório é contada como 1 arquivo. Carga ou leitura de informações desestruturadas são contadas como 1 tabela para cada fonte de dados "
Apresentação do produto para homologação (fixo)
Versionar produto, registro em sistema de gerenciamento específico ou de configuração, conforme o caso aplicável (fixo); 
Providenciar a publicação em produção (fixo)</t>
  </si>
  <si>
    <t>((Média dos registro das execuções entre 2018 a 2021 + 20%) /2) + PDI
PDA: 20
PDI: 29
divisão por dois: 50% sem necessidade de alinhamento e 50% com necessidade de alinhamento.
Adotou-se para estimativa de catálogo média de 8 tabelas por ETL.</t>
  </si>
  <si>
    <t>1.19</t>
  </si>
  <si>
    <t xml:space="preserve">Construir processo de ETL, com necessidade de criação de etapa com uso de script, por limitação da plataforma de desenvolvimento do ETL,   (adicionar ao total de horas das atividades fixas 5,3 horas multiplicado pelo somatório de arquivos ou tabelas de origem e de destino, ou seja, total de horas = qtd de horas fixas + 5,3 * (qtd de arquivos ou tabelas de origem + qtd de arquivos ou tabelas de destino)) </t>
  </si>
  <si>
    <t>Levantamento de requisitos (fixo)
Levantamento de ativos de processos organizacionais (fixo)
Elaboração do produto - para definição do fator, contam-se somente os arquivos na orígem e destino, representações intermediárias são ignoradas  (adicionar ao total de horas das atividades fixas 5,3 horas multiplicado pelo somatório de arquivos ou tabelas de origem e de destino, ou seja, total de horas = qtd de horas fixas + 5,3 * (qtd de arquivos ou tabelas de origem + qtd de arquivos ou tabelas de destino)). Vários arquivos com o mesmo formato, bem como views ou consultas prontas e disponibilizadas pela contratante são contados como somente 1 arquivo. Listagem de diretório é contada como 1 arquivo. Carga ou leitura de informações desestruturadas são contadas como 1 tabela para cada fonte de dados 
Desenvolver script
Provindenciar publicação do produto para homologação (fixo)
Versionar produto, registro em sistema de gerenciamento específico ou de configuração, conforme o caso aplicável (fixo); 
Providenciar a publicação em produção (fixo)</t>
  </si>
  <si>
    <t>1.20</t>
  </si>
  <si>
    <t xml:space="preserve">Alterar processo de ETL (adicionar ao total de horas das atividades fixas 1.5 horas multiplicado pelo somatório de arquivos ou tabelas de origem e de destino, ou seja, total de horas = qtd de horas fixas + 1.5 * (qtd de arquivos ou tabelas de origem + qtd de arquivos ou tabelas de destino)) </t>
  </si>
  <si>
    <t>Levantamento de requisitos (fixo)
Levantamento de ativos de processos organizacionais (fixo)
Elaboração do produto - para definição do fator, contam-se somente os arquivos na origem e destino, representações intermediárias são ignoradas  (adicionar ao total de horas das atividades fixas 1.5 hora multiplicado pelo somatório de arquivos ou tabelas de origem e de destino, ou seja, total de horas = qtd de horas fixas + 1.5 * (qtd de arquivos ou tabelas de origem + qtd de arquivos ou tabelas de destino)). Vários arquivos com o mesmo formato, bem como views ou consultas prontas e disponibilizadas pela contratante são contados como somente 1 arquivo. Listagem de diretório é contada como 1 arquivo. Carga ou leitura de informações desestruturadas são contadas como 1 tabela para cada fonte de dados 
Providenciar a publicação em produção (fixo)
Versionar produto, registro em sistema de gerenciamento específico ou de configuração, conforme o caso aplicável (fixo); 
Providenciar a publicação em produção (fixo)</t>
  </si>
  <si>
    <t>Média dos registro das execuções entre 2018 a 2021 + 20% + 40% sobre o PDI. Adotou-se para estimativa de catálogo média de 8 tabelas por ETL.</t>
  </si>
  <si>
    <t>1.3</t>
  </si>
  <si>
    <t>Business Intelligence</t>
  </si>
  <si>
    <t>Produzir painel em Microsoft Power BI sem modelo de dados disponível (cada painel equivale a uma página do PowerBI)</t>
  </si>
  <si>
    <t>Painel homologado em produção</t>
  </si>
  <si>
    <t>Participar de reunião com requisitante para entendimento da demanda
Mapear origem dos dados - aplicar multiplicador/fator 2.5 (hora) para cada conjunto de até 5 tabelas.
Construir tabelas fonte de dados
Criar relacionamentos entre dados/tabelas
Criar medida (fórmula ou script) - utilizar o fator 1 (hora)  para cada medida construída.
Construir painel (contendo caixas de texto, caixa de texto vinculada a medida, imagens ou templates fornecidos pela ANAC). Utilizar fator 1 para cada painel construído. Cada painel equivale a uma página do PowerBi.
Construir elemento gráfico - utilizar o fator 1  para cada elemento gráfico a ser criado, aplicando-se também a filtros e medidas.
Disponibilização do produto para homologação
Versionar produto, registro em sistema de gerenciamento específico ou de configuração, encaminhar para homologação, conforme o caso aplicável; 
Providenciar a publicação em produção</t>
  </si>
  <si>
    <t>Por modelo de relatório e/ou painel gerado</t>
  </si>
  <si>
    <t>Analista de BI - Júnior</t>
  </si>
  <si>
    <t>Multiplicar pela quantidade de superintendencias</t>
  </si>
  <si>
    <t>1.31</t>
  </si>
  <si>
    <t>Produzir painel em Microsoft Power BI com modelo de dados disponível (cada painel equivale a uma página do PowerBI)</t>
  </si>
  <si>
    <t>Participar de reunião com requisitante para entendimento da demanda
Construir tabelas fonte de dados
Criar relacionamentos entre dados/tabelas
Criar medida (fórmula ou script) - utilizar o fator 1 (hora)  para cada medida construída.
Construir painel (contendo caixas de texto, caixa de texto vinculada a medida, imagens ou templates fornecidos pela ANAC). Utilizar fator 1 (hora) para cada painel construído. Cada painel equivale a uma página do PowerBi.
Construir elemento gráfico - utilizar o fator 1 (hora) para cada elemento gráfico a ser criado, aplicando-se também a filtros e medidas.
Disponibilização do produto para homologação
Versionar produto, registro em sistema de gerenciamento específico ou de configuração, encaminhar para homologação, conforme o caso aplicável; 
Providenciar a publicação em produção</t>
  </si>
  <si>
    <t>1.32</t>
  </si>
  <si>
    <t>Alterar painel em Microsoft Power BI</t>
  </si>
  <si>
    <t>Participar de reunião com requisitante para entendimento da demanda
Alterar tabelas fonte de dados
Alterar relacionamentos entre dados/tabelas
Alterar medida (fórmula ou script) - utilizar o fator 0,5 (hora)  para cada medida ou script alterado.
Alterar painel (contendo caixas de texto, caixa de texto vinculada a medida, imagens ou templates fornecidos pela ANAC). Utilizar fator 0,5 (hora) para cada painel construído. Cada painel equivale a uma página do PowerBi.
Alterar elemento gráfico - utilizar o fator 0.5 (hora) para cada elemento gráfico a ser alterado, aplicando-se também a filtros e medidas.
Disponibilização do produto para homologação
Versionar produto, registro em sistema de gerenciamento específico ou de configuração, encaminhar para homologação, conforme o caso aplicável; 
Providenciar a publicação em produção</t>
  </si>
  <si>
    <t>2.01</t>
  </si>
  <si>
    <t>LGPD</t>
  </si>
  <si>
    <t>Inventário (Data Mapping) de dados pessoais e Relatório descritivo dos procedimentos e resultados  (Baixo Esforço)</t>
  </si>
  <si>
    <t>Inventário em excel de dados pessoais (Data Mapping) contendo relatório sintético, gráficos, resumo, Data Mapping, informações do Programa de Dados Abertos, onde a base de dados se localiza na cadeia de valor da ANAC, diagrama físico da base de dados, Manuais de Procedimentos relacionados à base, Legislações relacionadas, Tabelas dinâmicas E Relatório em word contendo a descrição dos procedimentos e os resultados (incluindo recomendações para as unidades) obtidos no processo de realização do inventário de dados.</t>
  </si>
  <si>
    <t>* Reunião com área curadora da base de dados para obtenção dos Manuais de procedimentos e legislações relacionadas.
* Análise dos Manuais Procedimentos e legislações relacionadas para entendimento dos processos envolvidos (baixo esforço)
* Acesso e análise do diagrama físico e dicionários das bases de dados (PowerDesign) (baixo esforço)
* Elaboração dos fluxos de dados pessoais relacionados à base analisada (baixo esforço)
* Exportação e formatação das informações do diagrama físico de dados pessoais
* Classificação dos dados
* Análises dos dados com base nos princípios trazidos pelo art. 6º da LGPD (baixo esforço)
* Elaboração dos gráficos relacionados aos tipos de dados, bases legais que permitem o tratamento e recomendações
* Elaboração do Relatório descritivo contendo os procedimentos e os resultados obtidos no processo de realização do inventário de dados.</t>
  </si>
  <si>
    <t>Por inventário (Data Mapping) e Relatório</t>
  </si>
  <si>
    <t>O histórico de execução apresenta 11 mapeamentos realizados no exercício de 2021 até abril 2022. Isso corresponde a 0,7 por mês. Contudo, tendo em vista da ANAC já ter a expertise no que foi feito e no que deve ser feito, almeja-se que alcance 1 mapeamento por mês o que corresponderia a 12 mapeamentos abrangendo as 3 complexidades. Desses 12, 4 seriam de baixa, 4 de média e 4 de alta complexidade.</t>
  </si>
  <si>
    <t>2.02</t>
  </si>
  <si>
    <t>Inventário (Data Mapping) de dados pessoais e Relatório descritivo dos procedimentos e resultados (Médio Esforço)</t>
  </si>
  <si>
    <t>* Reunião com área curadora da base de dados para obtenção dos Manuais de procedimentos e legislações relacionadas.
* Análise dos Manuais Procedimentos e legislações relacionadas para entendimento dos processos envolvidos (médio esforço)
* Acesso e análise do diagrama físico e dicionários das bases de dados (PowerDesign) (médio esforço)
* Elaboração dos fluxos de dados pessoais relacionados à base analisada (médio esforço)
* Exportação e formatação das informações do diagrama físico de dados pessoais
* Classificação dos dados
* Análises dos dados com base nos princípios trazidos pelo art. 6º da LGPD (médio esforço)
* Elaboração dos gráficos relacionados aos tipos de dados, bases legais que permitem o tratamento e recomendações
* Elaboração do Relatório descritivo contendo os procedimentos e os resultados obtidos no processo de realização do inventário de dados.</t>
  </si>
  <si>
    <t>2.03</t>
  </si>
  <si>
    <t>Inventário (Data Mapping) em excel de dados pessoais e Relatório descritivo dos procedimentos e resultados (Alto Esforço)</t>
  </si>
  <si>
    <t>* Reunião com área curadora da base de dados para obtenção dos Manuais de procedimentos e legislações relacionadas.
* Análise dos Manuais Procedimentos e legislações relacionadas para entendimento dos processos envolvidos (alto esforço)
* Acesso e análise do diagrama físico e dicionários das bases de dados (PowerDesign) (alto esforço)
* Elaboração dos fluxos de dados pessoais relacionados à base analisada (alto esforço)
* Exportação e formatação das informações do diagrama físico de dados pessoais
* Classificação dos dados
* Análises dos dados com base nos princípios trazidos pelo art. 6º da LGPD (alto esforço)
* Elaboração dos gráficos relacionados aos tipos de dados, bases legais que permitem o tratamento e recomendações
* Elaboração do Relatório descritivo contendo os procedimentos e os resultados obtidos no processo de realização do inventário de dados.</t>
  </si>
  <si>
    <t>Estimativa de horas para cada uma das atividades necessárias à entrega do serviço solicitado.</t>
  </si>
  <si>
    <t>Itens de serviço</t>
  </si>
  <si>
    <t>Atividades relacionadas ao serviço</t>
  </si>
  <si>
    <t>Horas Estimadas</t>
  </si>
  <si>
    <t>Média para estimativa do catálogo (casos onde existe o fator variável)</t>
  </si>
  <si>
    <t>Levantamento de requisitos</t>
  </si>
  <si>
    <t>Levantamento de ativos de processos organizacionais</t>
  </si>
  <si>
    <t>Elaboração do documento de diretriz</t>
  </si>
  <si>
    <t>Apresentação para aprovação (homologação) e ajustes</t>
  </si>
  <si>
    <t>Versionar produto, registro em sistema de gerenciamento específico ou de configuração, conforme o caso aplicável;</t>
  </si>
  <si>
    <t>Elaboração do documento de procedimentos</t>
  </si>
  <si>
    <t>Alterar o produto</t>
  </si>
  <si>
    <t>Versionar produto, registro em sistema de gerenciamento específico ou de configuração, registro conclusivo do resultado da verificação,  conforme o caso aplicável</t>
  </si>
  <si>
    <t>Elaboração do parecer</t>
  </si>
  <si>
    <t>Reunião com equipes envolvidas;</t>
  </si>
  <si>
    <t>Análise de causa raiz;</t>
  </si>
  <si>
    <t>Intervenção em configuração de ambiente ou, se impedido por questões de fronteira contratual, registro orientativo para intervenção em ambiente contíguo;</t>
  </si>
  <si>
    <t>Elaboração de ata de reuniões e de relatório das atividades, contendo, inclusive, recomendações de melhoria, caso pertinente.</t>
  </si>
  <si>
    <t>Elaborar script - aplicar multiplicador/fator 2.5 para cada conjunto de até 5 tabelas.</t>
  </si>
  <si>
    <t>Apresentação do produto para homologação</t>
  </si>
  <si>
    <t>Providenciar a publicação ou execução em produção</t>
  </si>
  <si>
    <t>Providenciar a publicação em produção</t>
  </si>
  <si>
    <t>Análise de causa raiz, requisitos ou necessidades;</t>
  </si>
  <si>
    <t>Elaboração de documento de requisitos ou de necessidade técnica ou de negócio</t>
  </si>
  <si>
    <t>Apresentação do resultado para homologação.</t>
  </si>
  <si>
    <t>Elaboração de registro de recomendação de solução; elaboração de ata de reunião, versionar produto, registro em sistema de gerenciamento específico ou de configuração, conforme o caso aplicável;</t>
  </si>
  <si>
    <t>Elaboração de documento de requisitos ou de necessidades de negócio</t>
  </si>
  <si>
    <t>Analise do produto,  registro de proposição de melhoria, caso pertinente</t>
  </si>
  <si>
    <t xml:space="preserve">Versionar produto, registro em sistema de gerenciamento específico ou de configuração, registro conclusivo do resultado da verificação,  conforme o caso aplicável; </t>
  </si>
  <si>
    <t>Análise do produto</t>
  </si>
  <si>
    <t>Análise de requisitos</t>
  </si>
  <si>
    <t>Análise de ativos de processo organizacional</t>
  </si>
  <si>
    <t xml:space="preserve">Elaboração de relatório técnico sobre gap de qualidade, fator 1/2 (hora) por tabela a ser analisada. Versionar produto, registro em sistema de gerenciamento específico ou de configuração, conforme o caso aplicável; </t>
  </si>
  <si>
    <t>Análise da avaliação de qualidade de dados (fixa)</t>
  </si>
  <si>
    <t xml:space="preserve">construção de mecanismos técnicos para melhoria da qualidade. fator 1 (hora) para cada tabela alvo de script específico. Versionar produto, registro em sistema de gerenciamento específico ou de configuração, conforme o caso aplicável; </t>
  </si>
  <si>
    <t xml:space="preserve">Versionar produto, registro em sistema de gerenciamento específico ou de configuração, conforme o caso aplicável; </t>
  </si>
  <si>
    <t>Disponibilização do produto para homologação (fixa)</t>
  </si>
  <si>
    <t xml:space="preserve">Atualização de dados de indicadores de qualidade, versionar produto, registro em sistema de gerenciamento específico ou de configuração, conforme o caso aplicável (fixa); </t>
  </si>
  <si>
    <t>Providenciar a publicação em produção(fixa).</t>
  </si>
  <si>
    <t>Levantamento de requisitos (fixo)</t>
  </si>
  <si>
    <t>Levantamento de ativos de processos organizacionais (fixo)</t>
  </si>
  <si>
    <t xml:space="preserve">Elaboração do produto - para definição do fator, contam-se somente os arquivos na orígem e destino, representações intermediárias são ignoradas  (adicionar ao total de horas das atividades fixas 5,3 horas multiplicado pelo somatório de arquivos ou tabelas de origem e de destino, ou seja, total de horas = qtd de horas fixas + 5,3 * (qtd de arquivos ou tabelas de origem + qtd de arquivos ou tabelas de destino)). Vários arquivos com o mesmo formato, bem como views ou consultas prontas e disponibilizadas pela contratante são contados como somente 1 arquivo. Listagem de diretório é contada como 1 arquivo. Carga ou leitura de informações desestruturadas são contadas como 1 tabela para cada fonte de dados </t>
  </si>
  <si>
    <t>Provindenciar publicação do produto para homologação (fixo)</t>
  </si>
  <si>
    <t xml:space="preserve">Versionar produto, registro em sistema de gerenciamento específico ou de configuração, conforme o caso aplicável (fixo); </t>
  </si>
  <si>
    <t>Providenciar a publicação em produção (fixo)</t>
  </si>
  <si>
    <t>Verificação e validação dos requisitos</t>
  </si>
  <si>
    <t>Desenvolver script</t>
  </si>
  <si>
    <t xml:space="preserve">Elaboração do produto - para definição do fator, contam-se somente os arquivos na origem e destino, representações intermediárias são ignoradas  (adicionar ao total de horas das atividades fixas 1.5 hora multiplicado pelo somatório de arquivos ou tabelas de origem e de destino, ou seja, total de horas = qtd de horas fixas + 1.5 * (qtd de arquivos ou tabelas de origem + qtd de arquivos ou tabelas de destino)). Vários arquivos com o mesmo formato, bem como views ou consultas prontas e disponibilizadas pela contratante são contados como somente 1 arquivo. Listagem de diretório é contada como 1 arquivo. Carga ou leitura de informações desestruturadas são contadas como 1 tabela para cada fonte de dados </t>
  </si>
  <si>
    <t>Participar de reunião com requisitante para entendimento da demanda</t>
  </si>
  <si>
    <t>Mapear origem dos dados - aplicar multiplicador/fator 2.5 para cada conjunto de até 5 tabelas.</t>
  </si>
  <si>
    <t>Construir tabelas fonte de dados</t>
  </si>
  <si>
    <t>Criar relacionamentos entre dados/tabelas</t>
  </si>
  <si>
    <t>Criar medida (fórmula ou script) - utilizar o fator 1 (hora)  para cada medida construída.</t>
  </si>
  <si>
    <t>Construir painel (contendo caixas de texto, caixa de texto vinculada a medida, imagens ou templates fornecidos pela ANAC). Utilizar fator 1 para cada painel construído. Cada painel equivale a uma página do PowerBi.</t>
  </si>
  <si>
    <t>Construir elemento gráfico - utilizar o fator 1  para cada elemento gráfico a ser criado, aplicando-se também a filtros e medidas.</t>
  </si>
  <si>
    <t>Disponibilização do produto para homologação</t>
  </si>
  <si>
    <t xml:space="preserve">Versionar produto, registro em sistema de gerenciamento específico ou de configuração, encaminhar para homologação, conforme o caso aplicável; </t>
  </si>
  <si>
    <t>Alterar tabelas fonte de dados</t>
  </si>
  <si>
    <t>Alterar relacionamentos entre dados/tabelas</t>
  </si>
  <si>
    <t>Alterar medida (fórmula ou script) - utilizar o fator 0,5 (hora)  para cada medida ou script alterado.</t>
  </si>
  <si>
    <t>Alterar painel (contendo caixas de texto, caixa de texto vinculada a medida, imagens ou templates fornecidos pela ANAC). Utilizar fator 0,5 para cada painel construído. Cada painel equivale a uma página do PowerBi.</t>
  </si>
  <si>
    <t>Alterar elemento gráfico - utilizar o fator 0.5  para cada elemento gráfico a ser alterado, aplicando-se também a filtros e medidas.</t>
  </si>
  <si>
    <t>Reunião com área curadora da base de dados para obtenção dos Manuais de procedimentos e legislações relacionadas.</t>
  </si>
  <si>
    <t>Análise dos Manuais Procedimentos e legislações relacionadas para entendimento dos processos envolvidos (baixo esforço)</t>
  </si>
  <si>
    <t>Acesso e análise do diagrama físico e dicionários das bases de dados (PowerDesign) (baixo esforço)</t>
  </si>
  <si>
    <t>Elaboração dos fluxos de dados pessoais relacionados à base analisada (baixo esforço)</t>
  </si>
  <si>
    <t>Exportação e formatação das informações do diagrama físico de dados pessoais</t>
  </si>
  <si>
    <t>Classificação dos dados (alto esforço) fator: 0.63 (hora) para cada conjunto de 10 campos analisados.</t>
  </si>
  <si>
    <t>Análises dos dados com base nos princípios trazidos pelo art. 6º da LGPD (baixo esforço)</t>
  </si>
  <si>
    <t>Elaboração dos gráficos relacionados aos tipos de dados, bases legais que permitem o tratamento e recomendações</t>
  </si>
  <si>
    <t>Elaboração do Relatório descritivo contendo os procedimentos e os resultados obtidos no processo de realização do inventário de dados.</t>
  </si>
  <si>
    <t>Análise dos Manuais Procedimentos e legislações relacionadas para entendimento dos processos envolvidos (médio esforço)</t>
  </si>
  <si>
    <t>Acesso e análise do diagrama físico e dicionários das bases de dados (PowerDesign) (médio esforço)</t>
  </si>
  <si>
    <t>Elaboração dos fluxos de dados pessoais relacionados à base analisada (médio esforço)</t>
  </si>
  <si>
    <t>Análises dos dados com base nos princípios trazidos pelo art. 6º da LGPD (médio esforço)</t>
  </si>
  <si>
    <t>Análise dos Manuais Procedimentos e legislações relacionadas para entendimento dos processos envolvidos (alto esforço)</t>
  </si>
  <si>
    <t>Acesso e análise do diagrama físico e dicionários das bases de dados (alto esforço)</t>
  </si>
  <si>
    <t>Elaboração dos fluxos de dados pessoais relacionados à base analisada (alto esforço)</t>
  </si>
  <si>
    <t>Análises dos dados com base nos princípios trazidos pelo art. 6º da LGPD (alto esforço)</t>
  </si>
  <si>
    <t>Estimativa do fator senioridade e custo da hora para cada um dos perfis profissionais necessário para a execução dos serviços presentes no Catálogo.</t>
  </si>
  <si>
    <t>Perfil Profissional</t>
  </si>
  <si>
    <t>Senioridade</t>
  </si>
  <si>
    <t>Custo da hora do profissional</t>
  </si>
  <si>
    <t>*Fonte: Planilha_de_Custo_PTI apoio técnico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</si>
</sst>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43" formatCode="_-* #,##0.00_-;\-* #,##0.00_-;_-* &quot;-&quot;??_-;_-@_-"/>
  </numFmts>
  <fonts count="16" x14ac:knownFonts="1">
    <font>
      <sz val="11"/>
      <color theme="1"/>
      <name val="Calibri"/>
      <family val="2"/>
      <scheme val="minor"/>
    </font>
    <font>
      <b/>
      <sz val="11"/>
      <color theme="1"/>
      <name val="Calibri"/>
      <family val="2"/>
      <scheme val="minor"/>
    </font>
    <font>
      <b/>
      <sz val="11"/>
      <color theme="0"/>
      <name val="Calibri"/>
      <family val="2"/>
      <scheme val="minor"/>
    </font>
    <font>
      <sz val="10"/>
      <name val="Calibri"/>
      <family val="2"/>
    </font>
    <font>
      <sz val="10"/>
      <color theme="1"/>
      <name val="Calibri"/>
      <family val="2"/>
      <scheme val="minor"/>
    </font>
    <font>
      <sz val="10"/>
      <name val="Calibri"/>
      <family val="2"/>
      <scheme val="minor"/>
    </font>
    <font>
      <b/>
      <sz val="10"/>
      <color rgb="FFFFFFFF"/>
      <name val="Calibri"/>
      <family val="2"/>
      <scheme val="minor"/>
    </font>
    <font>
      <sz val="9"/>
      <name val="Segoe UI"/>
      <family val="2"/>
    </font>
    <font>
      <b/>
      <sz val="9"/>
      <name val="Segoe UI"/>
      <family val="2"/>
    </font>
    <font>
      <sz val="10"/>
      <color rgb="FF000000"/>
      <name val="Calibri"/>
      <family val="2"/>
    </font>
    <font>
      <sz val="8"/>
      <color theme="1"/>
      <name val="Calibri"/>
      <family val="2"/>
      <scheme val="minor"/>
    </font>
    <font>
      <sz val="16"/>
      <color theme="1"/>
      <name val="Calibri"/>
      <family val="2"/>
      <scheme val="minor"/>
    </font>
    <font>
      <sz val="20"/>
      <color theme="1"/>
      <name val="Calibri"/>
      <family val="2"/>
      <scheme val="minor"/>
    </font>
    <font>
      <sz val="10"/>
      <color rgb="FFFF0000"/>
      <name val="Calibri"/>
      <family val="2"/>
      <scheme val="minor"/>
    </font>
    <font>
      <sz val="11"/>
      <name val="Calibri"/>
      <family val="2"/>
      <scheme val="minor"/>
    </font>
    <font>
      <sz val="11"/>
      <color theme="1"/>
      <name val="Calibri"/>
      <family val="2"/>
      <scheme val="minor"/>
    </font>
  </fonts>
  <fills count="7">
    <fill>
      <patternFill patternType="none"/>
    </fill>
    <fill>
      <patternFill patternType="gray125"/>
    </fill>
    <fill>
      <patternFill patternType="solid">
        <fgColor theme="2" tint="-0.749961851863155"/>
        <bgColor indexed="64"/>
      </patternFill>
    </fill>
    <fill>
      <patternFill patternType="solid">
        <fgColor theme="7" tint="0.79995117038483843"/>
        <bgColor indexed="64"/>
      </patternFill>
    </fill>
    <fill>
      <patternFill patternType="solid">
        <fgColor theme="0"/>
        <bgColor indexed="64"/>
      </patternFill>
    </fill>
    <fill>
      <patternFill patternType="solid">
        <fgColor rgb="FF000000"/>
        <bgColor indexed="64"/>
      </patternFill>
    </fill>
    <fill>
      <patternFill patternType="solid">
        <fgColor theme="0" tint="-0.14999847407452621"/>
        <bgColor indexed="64"/>
      </patternFill>
    </fill>
  </fills>
  <borders count="20">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rgb="FF000000"/>
      </right>
      <top/>
      <bottom/>
      <diagonal/>
    </border>
    <border>
      <left style="thin">
        <color rgb="FF000000"/>
      </left>
      <right style="thin">
        <color rgb="FF000000"/>
      </right>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s>
  <cellStyleXfs count="3">
    <xf numFmtId="0" fontId="0" fillId="0" borderId="0"/>
    <xf numFmtId="43" fontId="15" fillId="0" borderId="0" applyFont="0" applyFill="0" applyBorder="0" applyAlignment="0" applyProtection="0"/>
    <xf numFmtId="44" fontId="15" fillId="0" borderId="0" applyFont="0" applyFill="0" applyBorder="0" applyAlignment="0" applyProtection="0"/>
  </cellStyleXfs>
  <cellXfs count="109">
    <xf numFmtId="0" fontId="0" fillId="0" borderId="0" xfId="0"/>
    <xf numFmtId="0" fontId="0" fillId="0" borderId="0" xfId="0" applyAlignment="1">
      <alignment horizontal="left" vertical="top" wrapText="1"/>
    </xf>
    <xf numFmtId="0" fontId="1" fillId="0" borderId="0" xfId="0" applyFont="1" applyAlignment="1">
      <alignment horizontal="center" vertical="center" wrapText="1"/>
    </xf>
    <xf numFmtId="0" fontId="0" fillId="0" borderId="1" xfId="0" applyBorder="1"/>
    <xf numFmtId="0" fontId="1" fillId="0" borderId="1" xfId="0" applyFont="1" applyBorder="1"/>
    <xf numFmtId="0" fontId="0" fillId="0" borderId="0" xfId="0" applyAlignment="1">
      <alignment horizontal="center" vertical="center" wrapText="1"/>
    </xf>
    <xf numFmtId="0" fontId="0" fillId="0" borderId="0" xfId="0" applyAlignment="1">
      <alignment horizontal="left" vertical="center" wrapText="1"/>
    </xf>
    <xf numFmtId="0" fontId="0" fillId="0" borderId="2" xfId="0" applyBorder="1"/>
    <xf numFmtId="0" fontId="1" fillId="0" borderId="3" xfId="0" applyFont="1" applyBorder="1"/>
    <xf numFmtId="0" fontId="1" fillId="0" borderId="4" xfId="0" applyFont="1" applyBorder="1"/>
    <xf numFmtId="43" fontId="0" fillId="0" borderId="5" xfId="0" applyNumberFormat="1" applyBorder="1" applyAlignment="1">
      <alignment horizontal="center"/>
    </xf>
    <xf numFmtId="0" fontId="2"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left" vertical="center" wrapText="1"/>
    </xf>
    <xf numFmtId="0" fontId="9" fillId="0" borderId="8" xfId="0" applyFont="1" applyBorder="1" applyAlignment="1">
      <alignment horizontal="left" vertical="center" wrapText="1"/>
    </xf>
    <xf numFmtId="0" fontId="3" fillId="0" borderId="8" xfId="0" applyFont="1" applyBorder="1" applyAlignment="1">
      <alignment horizontal="left" vertical="center" wrapText="1"/>
    </xf>
    <xf numFmtId="0" fontId="0" fillId="0" borderId="8" xfId="0" applyBorder="1" applyAlignment="1">
      <alignment horizontal="center" vertical="center" wrapText="1"/>
    </xf>
    <xf numFmtId="4" fontId="0" fillId="0" borderId="0" xfId="1" applyNumberFormat="1" applyFont="1" applyAlignment="1">
      <alignment horizontal="center" vertical="center" wrapText="1"/>
    </xf>
    <xf numFmtId="4" fontId="2" fillId="2" borderId="4" xfId="1" applyNumberFormat="1" applyFont="1" applyFill="1" applyBorder="1" applyAlignment="1">
      <alignment horizontal="center" vertical="center" wrapText="1"/>
    </xf>
    <xf numFmtId="4" fontId="0" fillId="0" borderId="5"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4" fontId="0" fillId="0" borderId="1" xfId="0" applyNumberFormat="1" applyBorder="1" applyAlignment="1">
      <alignment horizontal="center" vertical="center" wrapText="1"/>
    </xf>
    <xf numFmtId="4" fontId="0" fillId="0" borderId="8" xfId="0" applyNumberFormat="1" applyBorder="1" applyAlignment="1">
      <alignment horizontal="center" vertical="center"/>
    </xf>
    <xf numFmtId="0" fontId="10" fillId="0" borderId="0" xfId="0" applyFont="1"/>
    <xf numFmtId="44" fontId="12" fillId="3" borderId="1" xfId="2" applyFont="1" applyFill="1" applyBorder="1" applyAlignment="1">
      <alignment horizontal="center" vertical="center" wrapText="1"/>
    </xf>
    <xf numFmtId="0" fontId="0" fillId="0" borderId="0" xfId="0" applyAlignment="1">
      <alignment vertical="center" wrapText="1"/>
    </xf>
    <xf numFmtId="43" fontId="0" fillId="0" borderId="8" xfId="0" applyNumberFormat="1" applyBorder="1" applyAlignment="1">
      <alignment horizontal="center" vertical="center" wrapText="1"/>
    </xf>
    <xf numFmtId="4" fontId="0" fillId="0" borderId="9" xfId="0" applyNumberFormat="1" applyBorder="1" applyAlignment="1">
      <alignment horizontal="center" vertical="center"/>
    </xf>
    <xf numFmtId="1" fontId="0" fillId="0" borderId="1" xfId="0" applyNumberFormat="1" applyBorder="1" applyAlignment="1">
      <alignment horizontal="center" vertical="center" wrapText="1"/>
    </xf>
    <xf numFmtId="0" fontId="5" fillId="0" borderId="0" xfId="0" applyFont="1" applyAlignment="1">
      <alignment horizontal="left" wrapText="1"/>
    </xf>
    <xf numFmtId="0" fontId="4" fillId="0" borderId="0" xfId="0" applyFont="1" applyAlignment="1">
      <alignment wrapText="1"/>
    </xf>
    <xf numFmtId="0" fontId="4" fillId="0" borderId="0" xfId="0" applyFont="1" applyAlignment="1">
      <alignment horizontal="center" vertical="center" wrapText="1"/>
    </xf>
    <xf numFmtId="0" fontId="4" fillId="0" borderId="0" xfId="0" applyFont="1" applyAlignment="1">
      <alignment horizontal="left" vertical="center" wrapText="1"/>
    </xf>
    <xf numFmtId="0" fontId="4" fillId="4" borderId="0" xfId="0" applyFont="1" applyFill="1" applyAlignment="1">
      <alignment horizontal="left" vertical="center" wrapText="1"/>
    </xf>
    <xf numFmtId="0" fontId="4" fillId="4" borderId="0" xfId="0" applyFont="1" applyFill="1" applyAlignment="1">
      <alignment wrapText="1"/>
    </xf>
    <xf numFmtId="0" fontId="13" fillId="0" borderId="0" xfId="0" applyFont="1" applyAlignment="1">
      <alignment horizontal="left" vertical="center" wrapText="1"/>
    </xf>
    <xf numFmtId="0" fontId="13" fillId="0" borderId="0" xfId="0" applyFont="1" applyAlignment="1">
      <alignment wrapText="1"/>
    </xf>
    <xf numFmtId="0" fontId="5" fillId="0" borderId="0" xfId="0" applyFont="1" applyAlignment="1">
      <alignment horizontal="center" wrapText="1"/>
    </xf>
    <xf numFmtId="0" fontId="5" fillId="0" borderId="0" xfId="0" applyFont="1" applyAlignment="1">
      <alignment wrapText="1"/>
    </xf>
    <xf numFmtId="0" fontId="3" fillId="0" borderId="0" xfId="0" applyFont="1" applyAlignment="1">
      <alignment horizontal="center" vertical="center" wrapText="1"/>
    </xf>
    <xf numFmtId="0" fontId="5" fillId="0" borderId="0" xfId="0" applyFont="1" applyAlignment="1">
      <alignment horizontal="center" vertical="center" wrapText="1"/>
    </xf>
    <xf numFmtId="0" fontId="6" fillId="5" borderId="10" xfId="0" applyFont="1" applyFill="1" applyBorder="1" applyAlignment="1">
      <alignment horizontal="center" vertical="center" wrapText="1"/>
    </xf>
    <xf numFmtId="0" fontId="6" fillId="5"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1" xfId="0" applyFont="1" applyFill="1" applyBorder="1" applyAlignment="1">
      <alignment horizontal="center" wrapText="1"/>
    </xf>
    <xf numFmtId="0" fontId="5" fillId="4" borderId="1" xfId="0" applyFont="1" applyFill="1" applyBorder="1" applyAlignment="1">
      <alignment horizontal="left" wrapText="1"/>
    </xf>
    <xf numFmtId="0" fontId="14" fillId="0" borderId="1" xfId="0" applyFont="1" applyBorder="1" applyAlignment="1">
      <alignment vertical="center" wrapText="1"/>
    </xf>
    <xf numFmtId="0" fontId="0" fillId="0" borderId="2" xfId="0" quotePrefix="1" applyBorder="1" applyAlignment="1">
      <alignment horizontal="center" vertical="center" wrapText="1"/>
    </xf>
    <xf numFmtId="0" fontId="5" fillId="4" borderId="1" xfId="0" applyFont="1" applyFill="1" applyBorder="1" applyAlignment="1">
      <alignment wrapText="1"/>
    </xf>
    <xf numFmtId="0" fontId="5" fillId="4" borderId="1" xfId="0" applyFont="1" applyFill="1" applyBorder="1" applyAlignment="1">
      <alignment vertical="center" wrapText="1"/>
    </xf>
    <xf numFmtId="0" fontId="5" fillId="6" borderId="15" xfId="0" applyFont="1" applyFill="1" applyBorder="1" applyAlignment="1">
      <alignment horizontal="center" wrapText="1"/>
    </xf>
    <xf numFmtId="0" fontId="5" fillId="6" borderId="16" xfId="0" applyFont="1" applyFill="1" applyBorder="1" applyAlignment="1">
      <alignment horizontal="center" wrapText="1"/>
    </xf>
    <xf numFmtId="0" fontId="5" fillId="6" borderId="16" xfId="0" applyFont="1" applyFill="1" applyBorder="1" applyAlignment="1">
      <alignment horizontal="left" wrapText="1"/>
    </xf>
    <xf numFmtId="0" fontId="5" fillId="6" borderId="16" xfId="0" applyFont="1" applyFill="1" applyBorder="1" applyAlignment="1">
      <alignment vertical="center" wrapText="1"/>
    </xf>
    <xf numFmtId="0" fontId="5" fillId="6" borderId="16"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17" xfId="0" applyFont="1" applyFill="1" applyBorder="1" applyAlignment="1">
      <alignment horizontal="center" wrapText="1"/>
    </xf>
    <xf numFmtId="0" fontId="5" fillId="6" borderId="1" xfId="0" applyFont="1" applyFill="1" applyBorder="1" applyAlignment="1">
      <alignment horizontal="center" wrapText="1"/>
    </xf>
    <xf numFmtId="0" fontId="5" fillId="6" borderId="1" xfId="0" applyFont="1" applyFill="1" applyBorder="1" applyAlignment="1">
      <alignment horizontal="left" wrapText="1"/>
    </xf>
    <xf numFmtId="0" fontId="5" fillId="6" borderId="1" xfId="0" applyFont="1" applyFill="1" applyBorder="1" applyAlignment="1">
      <alignment vertical="center" wrapText="1"/>
    </xf>
    <xf numFmtId="0" fontId="5" fillId="6" borderId="1"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18" xfId="0" applyFont="1" applyFill="1" applyBorder="1" applyAlignment="1">
      <alignment horizontal="center" wrapText="1"/>
    </xf>
    <xf numFmtId="0" fontId="5" fillId="6" borderId="19" xfId="0" applyFont="1" applyFill="1" applyBorder="1" applyAlignment="1">
      <alignment horizontal="center" wrapText="1"/>
    </xf>
    <xf numFmtId="0" fontId="5" fillId="6" borderId="19" xfId="0" applyFont="1" applyFill="1" applyBorder="1" applyAlignment="1">
      <alignment horizontal="left" wrapText="1"/>
    </xf>
    <xf numFmtId="0" fontId="5" fillId="6" borderId="19" xfId="0" applyFont="1" applyFill="1" applyBorder="1" applyAlignment="1">
      <alignment vertical="center" wrapText="1"/>
    </xf>
    <xf numFmtId="0" fontId="3" fillId="6" borderId="19"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5" fillId="4" borderId="15" xfId="0" applyFont="1" applyFill="1" applyBorder="1" applyAlignment="1">
      <alignment horizontal="center" wrapText="1"/>
    </xf>
    <xf numFmtId="0" fontId="5" fillId="4" borderId="16" xfId="0" applyFont="1" applyFill="1" applyBorder="1" applyAlignment="1">
      <alignment horizontal="center" wrapText="1"/>
    </xf>
    <xf numFmtId="0" fontId="5" fillId="4" borderId="16" xfId="0" applyFont="1" applyFill="1" applyBorder="1" applyAlignment="1">
      <alignment horizontal="left" wrapText="1"/>
    </xf>
    <xf numFmtId="0" fontId="5" fillId="4" borderId="16" xfId="0" applyFont="1" applyFill="1" applyBorder="1" applyAlignment="1">
      <alignment vertical="center" wrapText="1"/>
    </xf>
    <xf numFmtId="0" fontId="5" fillId="4" borderId="16" xfId="0" applyFont="1" applyFill="1" applyBorder="1" applyAlignment="1">
      <alignment horizontal="center" vertical="center" wrapText="1"/>
    </xf>
    <xf numFmtId="0" fontId="5" fillId="4" borderId="17" xfId="0" applyFont="1" applyFill="1" applyBorder="1" applyAlignment="1">
      <alignment horizontal="center" wrapText="1"/>
    </xf>
    <xf numFmtId="0" fontId="5" fillId="4" borderId="18" xfId="0" applyFont="1" applyFill="1" applyBorder="1" applyAlignment="1">
      <alignment horizontal="center" wrapText="1"/>
    </xf>
    <xf numFmtId="0" fontId="5" fillId="4" borderId="19" xfId="0" applyFont="1" applyFill="1" applyBorder="1" applyAlignment="1">
      <alignment horizontal="center" wrapText="1"/>
    </xf>
    <xf numFmtId="0" fontId="5" fillId="4" borderId="19" xfId="0" applyFont="1" applyFill="1" applyBorder="1" applyAlignment="1">
      <alignment horizontal="left" wrapText="1"/>
    </xf>
    <xf numFmtId="0" fontId="5" fillId="4" borderId="19" xfId="0" applyFont="1" applyFill="1" applyBorder="1" applyAlignment="1">
      <alignment vertical="center" wrapText="1"/>
    </xf>
    <xf numFmtId="0" fontId="3" fillId="4" borderId="19"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5" fillId="6" borderId="19" xfId="0" applyFont="1" applyFill="1" applyBorder="1" applyAlignment="1">
      <alignment horizontal="center" vertical="center" wrapText="1"/>
    </xf>
    <xf numFmtId="0" fontId="5" fillId="4" borderId="19" xfId="0" applyFont="1" applyFill="1" applyBorder="1" applyAlignment="1">
      <alignment horizontal="center" vertical="center" wrapText="1"/>
    </xf>
    <xf numFmtId="0" fontId="5" fillId="4" borderId="15" xfId="0" quotePrefix="1" applyFont="1" applyFill="1" applyBorder="1" applyAlignment="1">
      <alignment horizontal="center" wrapText="1"/>
    </xf>
    <xf numFmtId="0" fontId="5" fillId="4" borderId="17" xfId="0" quotePrefix="1" applyFont="1" applyFill="1" applyBorder="1" applyAlignment="1">
      <alignment horizontal="center" wrapText="1"/>
    </xf>
    <xf numFmtId="0" fontId="5" fillId="4" borderId="18" xfId="0" quotePrefix="1" applyFont="1" applyFill="1" applyBorder="1" applyAlignment="1">
      <alignment horizontal="center" wrapText="1"/>
    </xf>
    <xf numFmtId="0" fontId="5" fillId="6" borderId="1" xfId="0" applyFont="1" applyFill="1" applyBorder="1" applyAlignment="1">
      <alignment wrapText="1"/>
    </xf>
    <xf numFmtId="0" fontId="3" fillId="6" borderId="1"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13" fillId="4" borderId="16" xfId="0" applyFont="1" applyFill="1" applyBorder="1" applyAlignment="1">
      <alignment horizontal="center" vertical="center" wrapText="1"/>
    </xf>
    <xf numFmtId="0" fontId="5" fillId="6" borderId="16" xfId="0" applyFont="1" applyFill="1" applyBorder="1" applyAlignment="1">
      <alignment wrapText="1"/>
    </xf>
    <xf numFmtId="0" fontId="3" fillId="6" borderId="16" xfId="0" applyFont="1" applyFill="1" applyBorder="1" applyAlignment="1">
      <alignment horizontal="center" vertical="center" wrapText="1"/>
    </xf>
    <xf numFmtId="0" fontId="5" fillId="6" borderId="1" xfId="0" applyFont="1" applyFill="1" applyBorder="1" applyAlignment="1">
      <alignment horizontal="left" vertical="center" wrapText="1"/>
    </xf>
    <xf numFmtId="0" fontId="5" fillId="4" borderId="16" xfId="0" applyFont="1" applyFill="1" applyBorder="1" applyAlignment="1">
      <alignment wrapText="1"/>
    </xf>
    <xf numFmtId="0" fontId="5" fillId="4" borderId="19" xfId="0" applyFont="1" applyFill="1" applyBorder="1" applyAlignment="1">
      <alignment wrapText="1"/>
    </xf>
    <xf numFmtId="0" fontId="5" fillId="6" borderId="19" xfId="0" applyFont="1" applyFill="1" applyBorder="1" applyAlignment="1">
      <alignment wrapText="1"/>
    </xf>
    <xf numFmtId="0" fontId="1" fillId="0" borderId="1" xfId="0" applyFont="1" applyBorder="1" applyAlignment="1">
      <alignment horizontal="center" vertical="center" wrapText="1"/>
    </xf>
    <xf numFmtId="0" fontId="12" fillId="0" borderId="0" xfId="0" applyFont="1" applyAlignment="1">
      <alignment horizontal="left" vertical="center" wrapText="1"/>
    </xf>
    <xf numFmtId="0" fontId="11" fillId="0" borderId="0" xfId="0" applyFont="1" applyAlignment="1">
      <alignment horizontal="left" vertical="center" wrapText="1"/>
    </xf>
  </cellXfs>
  <cellStyles count="3">
    <cellStyle name="Moeda" xfId="2" builtinId="4"/>
    <cellStyle name="Normal" xfId="0" builtinId="0"/>
    <cellStyle name="Vírgula" xfId="1" builtinId="3"/>
  </cellStyles>
  <dxfs count="58">
    <dxf>
      <alignment horizontal="center" vertical="center" textRotation="0" wrapText="1" indent="0" justifyLastLine="0" shrinkToFit="0" readingOrder="0"/>
      <border diagonalUp="0" diagonalDown="0" outline="0">
        <left style="thin">
          <color auto="1"/>
        </left>
        <right style="thin">
          <color auto="1"/>
        </right>
        <top style="thin">
          <color auto="1"/>
        </top>
        <bottom/>
      </border>
    </dxf>
    <dxf>
      <border>
        <left style="thin">
          <color auto="1"/>
        </left>
        <right style="thin">
          <color auto="1"/>
        </right>
        <top style="thin">
          <color auto="1"/>
        </top>
        <bottom style="thin">
          <color auto="1"/>
        </bottom>
        <vertical style="thin">
          <color auto="1"/>
        </vertical>
        <horizontal style="thin">
          <color auto="1"/>
        </horizontal>
      </border>
    </dxf>
    <dxf>
      <alignment horizontal="center" vertical="bottom" textRotation="0" wrapText="0" shrinkToFit="0" readingOrder="0"/>
      <border>
        <left style="thin">
          <color auto="1"/>
        </left>
        <right/>
        <top style="thin">
          <color auto="1"/>
        </top>
        <bottom style="thin">
          <color auto="1"/>
        </bottom>
      </border>
    </dxf>
    <dxf>
      <border>
        <left/>
        <right style="thin">
          <color auto="1"/>
        </right>
        <top style="thin">
          <color auto="1"/>
        </top>
        <bottom style="thin">
          <color auto="1"/>
        </bottom>
      </border>
    </dxf>
    <dxf>
      <border>
        <top style="thin">
          <color auto="1"/>
        </top>
      </border>
    </dxf>
    <dxf>
      <border>
        <left style="thin">
          <color auto="1"/>
        </left>
        <right style="thin">
          <color auto="1"/>
        </right>
        <top style="thin">
          <color auto="1"/>
        </top>
        <bottom style="thin">
          <color auto="1"/>
        </bottom>
      </border>
    </dxf>
    <dxf>
      <border>
        <bottom style="thin">
          <color auto="1"/>
        </bottom>
      </border>
    </dxf>
    <dxf>
      <font>
        <b/>
        <i val="0"/>
        <strike val="0"/>
        <u val="none"/>
        <sz val="11"/>
        <color theme="1"/>
        <name val="Calibri"/>
        <family val="2"/>
      </font>
      <border>
        <left style="thin">
          <color auto="1"/>
        </left>
        <right style="thin">
          <color auto="1"/>
        </right>
        <top/>
        <bottom/>
      </border>
    </dxf>
    <dxf>
      <font>
        <strike val="0"/>
        <u val="none"/>
        <sz val="10"/>
        <color auto="1"/>
        <name val="Calibri"/>
      </font>
      <fill>
        <patternFill patternType="none">
          <fgColor indexed="64"/>
          <bgColor auto="1"/>
        </patternFill>
      </fill>
      <alignment horizontal="center" vertical="center" textRotation="0" wrapText="1"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u val="none"/>
        <sz val="10"/>
        <color auto="1"/>
        <name val="Calibri"/>
      </font>
      <fill>
        <patternFill patternType="none">
          <fgColor indexed="64"/>
          <bgColor auto="1"/>
        </patternFill>
      </fill>
      <alignment horizontal="center" vertical="center" textRotation="0" wrapText="1"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u val="none"/>
        <sz val="10"/>
        <color auto="1"/>
        <name val="Calibri"/>
      </font>
      <fill>
        <patternFill patternType="none">
          <fgColor indexed="64"/>
          <bgColor auto="1"/>
        </patternFill>
      </fill>
      <alignment textRotation="0" wrapText="1"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u val="none"/>
        <sz val="10"/>
        <color auto="1"/>
        <name val="Calibri"/>
      </font>
      <fill>
        <patternFill patternType="none">
          <fgColor indexed="64"/>
          <bgColor auto="1"/>
        </patternFill>
      </fill>
      <alignment horizontal="left" vertical="bottom" textRotation="0" wrapText="1"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u val="none"/>
        <sz val="10"/>
        <color auto="1"/>
        <name val="Calibri"/>
      </font>
      <fill>
        <patternFill patternType="none">
          <fgColor indexed="64"/>
          <bgColor auto="1"/>
        </patternFill>
      </fill>
      <alignment horizontal="center" vertical="bottom" textRotation="0" wrapText="1"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u val="none"/>
        <sz val="10"/>
        <color auto="1"/>
        <name val="Calibri"/>
      </font>
      <fill>
        <patternFill patternType="none">
          <fgColor indexed="64"/>
          <bgColor auto="1"/>
        </patternFill>
      </fill>
      <alignment horizontal="center" vertical="bottom" textRotation="0" wrapText="1"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top style="thin">
          <color rgb="FF000000"/>
        </top>
      </border>
    </dxf>
    <dxf>
      <border>
        <left style="thin">
          <color rgb="FF000000"/>
        </left>
        <right style="thin">
          <color rgb="FF000000"/>
        </right>
        <top style="thin">
          <color rgb="FF000000"/>
        </top>
        <bottom style="thin">
          <color rgb="FF000000"/>
        </bottom>
      </border>
    </dxf>
    <dxf>
      <font>
        <strike val="0"/>
        <u val="none"/>
        <sz val="10"/>
        <color auto="1"/>
        <name val="Calibri"/>
      </font>
      <fill>
        <patternFill patternType="none">
          <fgColor indexed="64"/>
          <bgColor auto="1"/>
        </patternFill>
      </fill>
      <alignment textRotation="0" wrapText="1" shrinkToFit="0" readingOrder="0"/>
    </dxf>
    <dxf>
      <border>
        <bottom style="thin">
          <color rgb="FF000000"/>
        </bottom>
      </border>
    </dxf>
    <dxf>
      <alignment horizontal="center" vertical="center" textRotation="0" wrapText="1" shrinkToFit="0" readingOrder="0"/>
    </dxf>
    <dxf>
      <numFmt numFmtId="4" formatCode="#,##0.00"/>
      <alignment horizontal="center" vertical="center" textRotation="0" wrapText="0" indent="0" justifyLastLine="0" shrinkToFit="0" readingOrder="0"/>
      <border diagonalUp="0" diagonalDown="0" outline="0">
        <left style="thin">
          <color auto="1"/>
        </left>
        <right style="thin">
          <color auto="1"/>
        </right>
        <top style="thin">
          <color auto="1"/>
        </top>
        <bottom/>
      </border>
    </dxf>
    <dxf>
      <numFmt numFmtId="4" formatCode="#,##0.00"/>
      <fill>
        <patternFill patternType="none"/>
      </fill>
      <alignment horizontal="center" vertical="center" textRotation="0" shrinkToFit="0" readingOrder="0"/>
      <border>
        <left style="thin">
          <color auto="1"/>
        </left>
        <right style="thin">
          <color auto="1"/>
        </right>
        <top style="thin">
          <color auto="1"/>
        </top>
        <bottom style="thin">
          <color auto="1"/>
        </bottom>
        <vertical style="thin">
          <color auto="1"/>
        </vertical>
        <horizontal style="thin">
          <color auto="1"/>
        </horizontal>
      </border>
    </dxf>
    <dxf>
      <numFmt numFmtId="4" formatCode="#,##0.00"/>
      <alignment horizontal="center" vertical="center" textRotation="0" wrapText="0" indent="0" justifyLastLine="0" shrinkToFit="0" readingOrder="0"/>
      <border diagonalUp="0" diagonalDown="0" outline="0">
        <left style="thin">
          <color auto="1"/>
        </left>
        <right/>
        <top style="thin">
          <color auto="1"/>
        </top>
        <bottom/>
      </border>
    </dxf>
    <dxf>
      <numFmt numFmtId="4" formatCode="#,##0.00"/>
      <fill>
        <patternFill patternType="none"/>
      </fill>
      <alignment horizontal="center" vertical="center" textRotation="0" shrinkToFit="0" readingOrder="0"/>
      <border>
        <left style="thin">
          <color auto="1"/>
        </left>
        <right/>
        <top style="thin">
          <color auto="1"/>
        </top>
        <bottom style="thin">
          <color auto="1"/>
        </bottom>
        <vertical style="thin">
          <color auto="1"/>
        </vertical>
        <horizontal style="thin">
          <color auto="1"/>
        </horizontal>
      </border>
    </dxf>
    <dxf>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ill>
        <patternFill patternType="none"/>
      </fill>
      <alignment horizontal="center" vertical="center" textRotation="0" wrapText="1" shrinkToFit="0" readingOrder="0"/>
      <border>
        <left style="thin">
          <color auto="1"/>
        </left>
        <right style="thin">
          <color auto="1"/>
        </right>
        <top style="thin">
          <color auto="1"/>
        </top>
        <bottom style="thin">
          <color auto="1"/>
        </bottom>
      </border>
    </dxf>
    <dxf>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ill>
        <patternFill patternType="none"/>
      </fill>
      <alignment horizontal="center" vertical="center" textRotation="0" wrapText="1" indent="0" justifyLastLine="0" shrinkToFit="0" readingOrder="0"/>
      <border outline="0">
        <left style="thin">
          <color auto="1"/>
        </left>
        <right style="thin">
          <color auto="1"/>
        </right>
        <top style="thin">
          <color auto="1"/>
        </top>
        <bottom style="thin">
          <color auto="1"/>
        </bottom>
      </border>
    </dxf>
    <dxf>
      <numFmt numFmtId="35" formatCode="_-* #,##0.00_-;\-* #,##0.00_-;_-* &quot;-&quot;??_-;_-@_-"/>
      <alignment horizontal="center" vertical="center" textRotation="0" wrapText="1" indent="0" justifyLastLine="0" shrinkToFit="0" readingOrder="0"/>
      <border diagonalUp="0" diagonalDown="0" outline="0">
        <left style="thin">
          <color auto="1"/>
        </left>
        <right style="thin">
          <color auto="1"/>
        </right>
        <top style="thin">
          <color auto="1"/>
        </top>
        <bottom/>
      </border>
    </dxf>
    <dxf>
      <numFmt numFmtId="1" formatCode="0"/>
      <fill>
        <patternFill patternType="none"/>
      </fill>
      <alignment horizontal="center" vertical="center" textRotation="0" wrapText="1" indent="0" justifyLastLine="0" shrinkToFit="0" readingOrder="0"/>
      <border outline="0">
        <left style="thin">
          <color auto="1"/>
        </left>
        <right style="thin">
          <color auto="1"/>
        </right>
        <top style="thin">
          <color auto="1"/>
        </top>
        <bottom style="thin">
          <color auto="1"/>
        </bottom>
      </border>
    </dxf>
    <dxf>
      <font>
        <b val="0"/>
        <i val="0"/>
        <strike val="0"/>
        <u val="none"/>
        <sz val="10"/>
        <color auto="1"/>
        <name val="Calibri"/>
        <family val="2"/>
      </font>
      <alignment horizontal="center" vertical="center" textRotation="0" wrapText="1" indent="0" justifyLastLine="0" shrinkToFit="0" readingOrder="0"/>
      <border outline="0">
        <left style="thin">
          <color auto="1"/>
        </left>
        <right style="thin">
          <color auto="1"/>
        </right>
        <top style="thin">
          <color auto="1"/>
        </top>
        <bottom style="thin">
          <color auto="1"/>
        </bottom>
      </border>
    </dxf>
    <dxf>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ill>
        <patternFill patternType="none"/>
      </fill>
      <alignment horizontal="center" vertical="center" textRotation="0" wrapText="1" indent="0" justifyLastLine="0" shrinkToFit="0" readingOrder="0"/>
      <border outline="0">
        <left style="thin">
          <color auto="1"/>
        </left>
        <right style="thin">
          <color auto="1"/>
        </right>
        <top style="thin">
          <color auto="1"/>
        </top>
        <bottom style="thin">
          <color auto="1"/>
        </bottom>
      </border>
    </dxf>
    <dxf>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ill>
        <patternFill patternType="none"/>
      </fill>
      <alignment horizontal="center" vertical="center" textRotation="0" wrapText="1" indent="0" justifyLastLine="0" shrinkToFit="0" readingOrder="0"/>
      <border outline="0">
        <left style="thin">
          <color auto="1"/>
        </left>
        <right style="thin">
          <color auto="1"/>
        </right>
        <top style="thin">
          <color auto="1"/>
        </top>
        <bottom style="thin">
          <color auto="1"/>
        </bottom>
      </border>
    </dxf>
    <dxf>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ill>
        <patternFill patternType="none"/>
      </fill>
      <alignment horizontal="center" vertical="center" textRotation="0" wrapText="1" indent="0" justifyLastLine="0" shrinkToFit="0" readingOrder="0"/>
      <border outline="0">
        <left style="thin">
          <color auto="1"/>
        </left>
        <right style="thin">
          <color auto="1"/>
        </right>
        <top style="thin">
          <color auto="1"/>
        </top>
        <bottom style="thin">
          <color auto="1"/>
        </bottom>
      </border>
    </dxf>
    <dxf>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ill>
        <patternFill patternType="none"/>
      </fill>
      <alignment horizontal="center" vertical="center" textRotation="0" wrapText="1" indent="0" justifyLastLine="0" shrinkToFit="0" readingOrder="0"/>
      <border outline="0">
        <left style="thin">
          <color auto="1"/>
        </left>
        <right style="thin">
          <color auto="1"/>
        </right>
        <top style="thin">
          <color auto="1"/>
        </top>
        <bottom style="thin">
          <color auto="1"/>
        </bottom>
      </border>
    </dxf>
    <dxf>
      <alignment horizontal="center" vertical="center" textRotation="0" wrapText="1" indent="0" justifyLastLine="0" shrinkToFit="0" readingOrder="0"/>
      <border diagonalUp="0" diagonalDown="0" outline="0">
        <left style="thin">
          <color auto="1"/>
        </left>
        <right style="thin">
          <color auto="1"/>
        </right>
        <top style="thin">
          <color auto="1"/>
        </top>
        <bottom/>
      </border>
    </dxf>
    <dxf>
      <fill>
        <patternFill patternType="none"/>
      </fill>
      <alignment horizontal="center" vertical="center" textRotation="0" wrapText="1" shrinkToFit="0" readingOrder="0"/>
      <border>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Calibri"/>
        <family val="2"/>
        <scheme val="none"/>
      </font>
      <alignment horizontal="left" vertical="center" textRotation="0" wrapText="1" indent="0" justifyLastLine="0" shrinkToFit="0" readingOrder="0"/>
      <border diagonalUp="0" diagonalDown="0" outline="0">
        <left style="thin">
          <color auto="1"/>
        </left>
        <right style="thin">
          <color auto="1"/>
        </right>
        <top style="thin">
          <color auto="1"/>
        </top>
        <bottom/>
      </border>
    </dxf>
    <dxf>
      <font>
        <b val="0"/>
        <i val="0"/>
        <strike val="0"/>
        <u val="none"/>
        <sz val="10"/>
        <color auto="1"/>
        <name val="Calibri"/>
        <family val="2"/>
      </font>
      <fill>
        <patternFill patternType="none"/>
      </fill>
      <alignment horizontal="left" vertical="center" textRotation="0" wrapText="1" shrinkToFit="0" readingOrder="0"/>
      <border>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Calibri"/>
        <family val="2"/>
        <scheme val="none"/>
      </font>
      <alignment horizontal="left" vertical="center" textRotation="0" wrapText="1" indent="0" justifyLastLine="0" shrinkToFit="0" readingOrder="0"/>
      <border diagonalUp="0" diagonalDown="0" outline="0">
        <left style="thin">
          <color auto="1"/>
        </left>
        <right style="thin">
          <color auto="1"/>
        </right>
        <top style="thin">
          <color auto="1"/>
        </top>
        <bottom/>
      </border>
    </dxf>
    <dxf>
      <font>
        <b val="0"/>
        <i val="0"/>
        <strike val="0"/>
        <u val="none"/>
        <sz val="10"/>
        <color auto="1"/>
        <name val="Calibri"/>
        <family val="2"/>
      </font>
      <fill>
        <patternFill patternType="none">
          <fgColor rgb="FF000000"/>
        </patternFill>
      </fill>
      <alignment horizontal="left" vertical="center" textRotation="0" wrapText="1" shrinkToFit="0" readingOrder="0"/>
      <border>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rgb="FF000000"/>
        <name val="Calibri"/>
        <family val="2"/>
        <scheme val="none"/>
      </font>
      <alignment horizontal="left" vertical="center" textRotation="0" wrapText="1" indent="0" justifyLastLine="0" shrinkToFit="0" readingOrder="0"/>
      <border diagonalUp="0" diagonalDown="0" outline="0">
        <left style="thin">
          <color auto="1"/>
        </left>
        <right style="thin">
          <color auto="1"/>
        </right>
        <top style="thin">
          <color auto="1"/>
        </top>
        <bottom/>
      </border>
    </dxf>
    <dxf>
      <font>
        <b val="0"/>
        <i val="0"/>
        <strike val="0"/>
        <u val="none"/>
        <sz val="10"/>
        <color rgb="FF000000"/>
        <name val="Calibri"/>
        <family val="2"/>
      </font>
      <fill>
        <patternFill patternType="none">
          <fgColor rgb="FF000000"/>
        </patternFill>
      </fill>
      <alignment horizontal="left" vertical="center" textRotation="0" wrapText="1" shrinkToFit="0" readingOrder="0"/>
      <border>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rgb="FF000000"/>
        <name val="Calibri"/>
        <family val="2"/>
        <scheme val="none"/>
      </font>
      <alignment horizontal="left" vertical="center" textRotation="0" wrapText="1" indent="0" justifyLastLine="0" shrinkToFit="0" readingOrder="0"/>
      <border diagonalUp="0" diagonalDown="0" outline="0">
        <left style="thin">
          <color auto="1"/>
        </left>
        <right style="thin">
          <color auto="1"/>
        </right>
        <top style="thin">
          <color auto="1"/>
        </top>
        <bottom/>
      </border>
    </dxf>
    <dxf>
      <font>
        <b val="0"/>
        <i val="0"/>
        <strike val="0"/>
        <u val="none"/>
        <sz val="10"/>
        <color rgb="FF000000"/>
        <name val="Calibri"/>
        <family val="2"/>
      </font>
      <fill>
        <patternFill patternType="none"/>
      </fill>
      <alignment horizontal="left" vertical="center" textRotation="0" wrapText="1" shrinkToFit="0" readingOrder="0"/>
      <border>
        <left style="thin">
          <color auto="1"/>
        </left>
        <right style="thin">
          <color auto="1"/>
        </right>
        <top style="thin">
          <color auto="1"/>
        </top>
        <bottom style="thin">
          <color auto="1"/>
        </bottom>
        <vertical style="thin">
          <color auto="1"/>
        </vertical>
        <horizontal style="thin">
          <color auto="1"/>
        </horizontal>
      </border>
    </dxf>
    <dxf>
      <alignment horizontal="left" vertical="center" textRotation="0" wrapText="1" indent="0" justifyLastLine="0" shrinkToFit="0" readingOrder="0"/>
      <border diagonalUp="0" diagonalDown="0" outline="0">
        <left style="thin">
          <color auto="1"/>
        </left>
        <right style="thin">
          <color auto="1"/>
        </right>
        <top style="thin">
          <color auto="1"/>
        </top>
        <bottom/>
      </border>
    </dxf>
    <dxf>
      <fill>
        <patternFill patternType="none"/>
      </fill>
      <alignment horizontal="left" vertical="center" textRotation="0" wrapText="1" shrinkToFit="0" readingOrder="0"/>
      <border>
        <left style="thin">
          <color auto="1"/>
        </left>
        <right style="thin">
          <color auto="1"/>
        </right>
        <top style="thin">
          <color auto="1"/>
        </top>
        <bottom style="thin">
          <color auto="1"/>
        </bottom>
        <vertical style="thin">
          <color auto="1"/>
        </vertical>
        <horizontal style="thin">
          <color auto="1"/>
        </horizontal>
      </border>
    </dxf>
    <dxf>
      <alignment horizontal="center" vertical="center" textRotation="0" wrapText="1" indent="0" justifyLastLine="0" shrinkToFit="0" readingOrder="0"/>
      <border diagonalUp="0" diagonalDown="0" outline="0">
        <left/>
        <right style="thin">
          <color auto="1"/>
        </right>
        <top style="thin">
          <color auto="1"/>
        </top>
        <bottom/>
      </border>
    </dxf>
    <dxf>
      <fill>
        <patternFill patternType="none"/>
      </fill>
      <alignment horizontal="center" vertical="center" textRotation="0" wrapText="1" shrinkToFit="0" readingOrder="0"/>
      <border>
        <left/>
        <right style="thin">
          <color auto="1"/>
        </right>
        <top style="thin">
          <color auto="1"/>
        </top>
        <bottom style="thin">
          <color auto="1"/>
        </bottom>
        <vertical style="thin">
          <color auto="1"/>
        </vertical>
        <horizontal style="thin">
          <color auto="1"/>
        </horizontal>
      </border>
    </dxf>
    <dxf>
      <border>
        <top style="thin">
          <color auto="1"/>
        </top>
      </border>
    </dxf>
    <dxf>
      <border>
        <left style="thin">
          <color auto="1"/>
        </left>
        <right style="thin">
          <color auto="1"/>
        </right>
        <top/>
        <bottom/>
        <vertical style="thin">
          <color auto="1"/>
        </vertical>
        <horizontal style="thin">
          <color auto="1"/>
        </horizontal>
      </border>
    </dxf>
    <dxf>
      <border>
        <left style="thin">
          <color auto="1"/>
        </left>
        <right style="thin">
          <color auto="1"/>
        </right>
        <top style="thin">
          <color auto="1"/>
        </top>
        <bottom style="thin">
          <color auto="1"/>
        </bottom>
      </border>
    </dxf>
    <dxf>
      <fill>
        <patternFill patternType="none"/>
      </fill>
    </dxf>
    <dxf>
      <border>
        <bottom style="thin">
          <color auto="1"/>
        </bottom>
      </border>
    </dxf>
    <dxf>
      <font>
        <b/>
        <i val="0"/>
        <strike val="0"/>
        <u val="none"/>
        <sz val="11"/>
        <color theme="0"/>
        <name val="Calibri"/>
        <family val="2"/>
      </font>
      <fill>
        <patternFill patternType="solid">
          <bgColor theme="2" tint="-0.749961851863155"/>
        </patternFill>
      </fill>
      <alignment horizontal="center" vertical="center" textRotation="0" wrapText="1" shrinkToFit="0" readingOrder="0"/>
      <border>
        <left style="thin">
          <color auto="1"/>
        </left>
        <right style="thin">
          <color auto="1"/>
        </right>
        <top/>
        <bottom/>
        <vertical style="thin">
          <color auto="1"/>
        </vertical>
        <horizontal style="thin">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catalogo" displayName="catalogo" ref="A3:Q30" totalsRowCount="1" headerRowDxfId="57" dataDxfId="55" totalsRowDxfId="53" headerRowBorderDxfId="56" tableBorderDxfId="54" totalsRowBorderDxfId="52">
  <autoFilter ref="A3:Q29" xr:uid="{00000000-0009-0000-0100-000002000000}"/>
  <tableColumns count="17">
    <tableColumn id="1" xr3:uid="{00000000-0010-0000-0000-000001000000}" name="ID" dataDxfId="51" totalsRowDxfId="50"/>
    <tableColumn id="2" xr3:uid="{00000000-0010-0000-0000-000002000000}" name="Segmento" dataDxfId="49" totalsRowDxfId="48"/>
    <tableColumn id="3" xr3:uid="{00000000-0010-0000-0000-000003000000}" name="Itens do serviço" dataDxfId="47" totalsRowDxfId="46"/>
    <tableColumn id="4" xr3:uid="{00000000-0010-0000-0000-000004000000}" name="Definição do produto esperado" dataDxfId="45" totalsRowDxfId="44"/>
    <tableColumn id="5" xr3:uid="{00000000-0010-0000-0000-000005000000}" name="Atividades Esperadas" dataDxfId="43" totalsRowDxfId="42"/>
    <tableColumn id="6" xr3:uid="{00000000-0010-0000-0000-000006000000}" name="Parâmetro" dataDxfId="41" totalsRowDxfId="40"/>
    <tableColumn id="7" xr3:uid="{00000000-0010-0000-0000-000007000000}" name="Perfil de profissional" dataDxfId="39" totalsRowDxfId="38"/>
    <tableColumn id="8" xr3:uid="{00000000-0010-0000-0000-000008000000}" name="Fator Senioridade (fator de ajuste)" dataDxfId="37" totalsRowDxfId="36">
      <calculatedColumnFormula>IFERROR(VLOOKUP(G4,'Perfis profissionais'!$A$3:$B$6,2,FALSE),"")</calculatedColumnFormula>
    </tableColumn>
    <tableColumn id="11" xr3:uid="{00000000-0010-0000-0000-00000B000000}" name="Esforço em horas (horas estimadas)" dataDxfId="35" totalsRowDxfId="34">
      <calculatedColumnFormula>SUMIF(horas_estimada[],'Catálogo de Serviços Preço UST'!A4,horas_estimada[Horas Estimadas])</calculatedColumnFormula>
    </tableColumn>
    <tableColumn id="12" xr3:uid="{00000000-0010-0000-0000-00000C000000}" name="Quantidade de UST " dataDxfId="33" totalsRowDxfId="32">
      <calculatedColumnFormula>H4*I4</calculatedColumnFormula>
    </tableColumn>
    <tableColumn id="13" xr3:uid="{00000000-0010-0000-0000-00000D000000}" name="Estimativa de execução em 12 meses" dataDxfId="31" totalsRowDxfId="30"/>
    <tableColumn id="9" xr3:uid="{00000000-0010-0000-0000-000009000000}" name="Quantidade de horas para 12 meses" totalsRowFunction="sum" dataDxfId="29" totalsRowDxfId="0">
      <calculatedColumnFormula>catalogo[[#This Row],[Esforço em horas (horas estimadas)]]*catalogo[[#This Row],[Estimativa de execução em 12 meses]]</calculatedColumnFormula>
    </tableColumn>
    <tableColumn id="14" xr3:uid="{00000000-0010-0000-0000-00000E000000}" name="Quantidade de UST para 12 meses" totalsRowFunction="sum" dataDxfId="28" totalsRowDxfId="27">
      <calculatedColumnFormula>ROUND(J4*K4,0)</calculatedColumnFormula>
    </tableColumn>
    <tableColumn id="15" xr3:uid="{00000000-0010-0000-0000-00000F000000}" name="Prazo para execução do Serviço (horas úteis)" dataDxfId="26" totalsRowDxfId="25">
      <calculatedColumnFormula>ROUNDUP(catalogo[[#This Row],[Esforço em horas (horas estimadas)]]*(14/8),0)</calculatedColumnFormula>
    </tableColumn>
    <tableColumn id="16" xr3:uid="{00000000-0010-0000-0000-000010000000}" name="Justificativa para a quantidade prevista" dataDxfId="24" totalsRowDxfId="23"/>
    <tableColumn id="17" xr3:uid="{00000000-0010-0000-0000-000011000000}" name="Valor estimado do serviço com base no valor ofertado no Pregão" dataDxfId="22" totalsRowDxfId="21">
      <calculatedColumnFormula>IF($C$2="","",catalogo[[#This Row],[Quantidade de UST ]]*$C$2)</calculatedColumnFormula>
    </tableColumn>
    <tableColumn id="18" xr3:uid="{00000000-0010-0000-0000-000012000000}" name="Valor estimado dos serviços em 12 meses com base no valor ofertado no Pregão" totalsRowFunction="sum" dataDxfId="20" totalsRowDxfId="19">
      <calculatedColumnFormula>IF($C$2="","",catalogo[[#This Row],[Valor estimado do serviço com base no valor ofertado no Pregão]]*catalogo[[#This Row],[Estimativa de execução em 12 meses]])</calculatedColumnFormula>
    </tableColumn>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horas_estimada" displayName="horas_estimada" ref="A2:F153" totalsRowShown="0" headerRowDxfId="18" dataDxfId="16" headerRowBorderDxfId="17" tableBorderDxfId="15" totalsRowBorderDxfId="14">
  <autoFilter ref="A2:F153" xr:uid="{00000000-0009-0000-0100-000001000000}"/>
  <tableColumns count="6">
    <tableColumn id="1" xr3:uid="{00000000-0010-0000-0100-000001000000}" name="ID" dataDxfId="13"/>
    <tableColumn id="4" xr3:uid="{00000000-0010-0000-0100-000004000000}" name="Segmento" dataDxfId="12">
      <calculatedColumnFormula>VLOOKUP(horas_estimada[[#This Row],[ID]],catalogo[],2,FALSE)</calculatedColumnFormula>
    </tableColumn>
    <tableColumn id="5" xr3:uid="{00000000-0010-0000-0100-000005000000}" name="Itens de serviço" dataDxfId="11">
      <calculatedColumnFormula>VLOOKUP(horas_estimada[[#This Row],[ID]],catalogo[],3,FALSE)</calculatedColumnFormula>
    </tableColumn>
    <tableColumn id="2" xr3:uid="{00000000-0010-0000-0100-000002000000}" name="Atividades relacionadas ao serviço" dataDxfId="10"/>
    <tableColumn id="3" xr3:uid="{00000000-0010-0000-0100-000003000000}" name="Horas Estimadas" dataDxfId="9"/>
    <tableColumn id="6" xr3:uid="{00000000-0010-0000-0100-000006000000}" name="Média para estimativa do catálogo (casos onde existe o fator variável)" dataDxfId="8"/>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ela3" displayName="Tabela3" ref="A2:C6" totalsRowShown="0" headerRowDxfId="7" headerRowBorderDxfId="6" tableBorderDxfId="5" totalsRowBorderDxfId="4">
  <autoFilter ref="A2:C6" xr:uid="{00000000-0009-0000-0100-000003000000}"/>
  <tableColumns count="3">
    <tableColumn id="1" xr3:uid="{00000000-0010-0000-0200-000001000000}" name="Perfil Profissional" dataDxfId="3"/>
    <tableColumn id="2" xr3:uid="{00000000-0010-0000-0200-000002000000}" name="Senioridade" dataDxfId="2"/>
    <tableColumn id="3" xr3:uid="{00000000-0010-0000-0200-000003000000}" name="Custo da hora do profissional" dataDxfId="1">
      <calculatedColumnFormula>#REF!</calculatedColumnFormula>
    </tableColumn>
  </tableColumns>
  <tableStyleInfo name="TableStyleLight1"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A0B1C9-31F4-4EAC-9DDD-8DCA8648AFD2}">
  <dimension ref="A1:Q30"/>
  <sheetViews>
    <sheetView showGridLines="0" tabSelected="1" topLeftCell="E1" zoomScale="80" zoomScaleNormal="80" workbookViewId="0">
      <pane ySplit="3" topLeftCell="A4" activePane="bottomLeft" state="frozen"/>
      <selection activeCell="E1" sqref="E1"/>
      <selection pane="bottomLeft" activeCell="G7" sqref="G7"/>
    </sheetView>
  </sheetViews>
  <sheetFormatPr defaultColWidth="9.140625" defaultRowHeight="15" x14ac:dyDescent="0.25"/>
  <cols>
    <col min="1" max="1" width="7.28515625" style="5" bestFit="1" customWidth="1"/>
    <col min="2" max="2" width="14.140625" style="1" bestFit="1" customWidth="1"/>
    <col min="3" max="3" width="61.28515625" style="1" customWidth="1"/>
    <col min="4" max="4" width="103.85546875" style="1" customWidth="1"/>
    <col min="5" max="5" width="80.85546875" style="1" bestFit="1" customWidth="1"/>
    <col min="6" max="6" width="25.140625" style="1" bestFit="1" customWidth="1"/>
    <col min="7" max="7" width="23.140625" style="5" bestFit="1" customWidth="1"/>
    <col min="8" max="8" width="25.7109375" style="5" bestFit="1" customWidth="1"/>
    <col min="9" max="9" width="26" style="5" bestFit="1" customWidth="1"/>
    <col min="10" max="10" width="21.85546875" style="5" bestFit="1" customWidth="1"/>
    <col min="11" max="11" width="31" style="5" bestFit="1" customWidth="1"/>
    <col min="12" max="12" width="30.140625" style="5" bestFit="1" customWidth="1"/>
    <col min="13" max="13" width="28.7109375" style="5" bestFit="1" customWidth="1"/>
    <col min="14" max="14" width="25.5703125" style="5" bestFit="1" customWidth="1"/>
    <col min="15" max="15" width="117.5703125" style="5" bestFit="1" customWidth="1"/>
    <col min="16" max="16" width="27.42578125" style="25" bestFit="1" customWidth="1"/>
    <col min="17" max="17" width="32.28515625" style="5" bestFit="1" customWidth="1"/>
    <col min="18" max="16379" width="9.140625" style="1"/>
    <col min="16380" max="16380" width="9.140625" style="1" customWidth="1"/>
    <col min="16381" max="16384" width="9.140625" style="1"/>
  </cols>
  <sheetData>
    <row r="1" spans="1:17" ht="26.25" x14ac:dyDescent="0.25">
      <c r="A1" s="107" t="s">
        <v>0</v>
      </c>
      <c r="B1" s="107"/>
      <c r="C1" s="107"/>
      <c r="D1" s="107"/>
      <c r="E1" s="107"/>
      <c r="F1" s="107"/>
      <c r="G1" s="107"/>
      <c r="H1" s="107"/>
      <c r="I1" s="107"/>
      <c r="J1" s="107"/>
      <c r="K1" s="107"/>
      <c r="L1" s="107"/>
      <c r="M1" s="107"/>
      <c r="N1" s="107"/>
      <c r="O1" s="107"/>
      <c r="P1" s="107"/>
      <c r="Q1" s="107"/>
    </row>
    <row r="2" spans="1:17" ht="26.25" x14ac:dyDescent="0.25">
      <c r="A2" s="106" t="s">
        <v>1</v>
      </c>
      <c r="B2" s="106"/>
      <c r="C2" s="32">
        <v>0</v>
      </c>
    </row>
    <row r="3" spans="1:17" s="2" customFormat="1" ht="45" x14ac:dyDescent="0.25">
      <c r="A3" s="11" t="s">
        <v>2</v>
      </c>
      <c r="B3" s="12" t="s">
        <v>3</v>
      </c>
      <c r="C3" s="12" t="s">
        <v>4</v>
      </c>
      <c r="D3" s="12" t="s">
        <v>5</v>
      </c>
      <c r="E3" s="12" t="s">
        <v>6</v>
      </c>
      <c r="F3" s="12" t="s">
        <v>7</v>
      </c>
      <c r="G3" s="12" t="s">
        <v>8</v>
      </c>
      <c r="H3" s="12" t="s">
        <v>9</v>
      </c>
      <c r="I3" s="12" t="s">
        <v>10</v>
      </c>
      <c r="J3" s="12" t="s">
        <v>11</v>
      </c>
      <c r="K3" s="12" t="s">
        <v>12</v>
      </c>
      <c r="L3" s="12" t="s">
        <v>13</v>
      </c>
      <c r="M3" s="12" t="s">
        <v>14</v>
      </c>
      <c r="N3" s="12" t="s">
        <v>15</v>
      </c>
      <c r="O3" s="12" t="s">
        <v>16</v>
      </c>
      <c r="P3" s="26" t="s">
        <v>17</v>
      </c>
      <c r="Q3" s="28" t="s">
        <v>18</v>
      </c>
    </row>
    <row r="4" spans="1:17" ht="90" x14ac:dyDescent="0.25">
      <c r="A4" s="13" t="s">
        <v>19</v>
      </c>
      <c r="B4" s="14" t="s">
        <v>20</v>
      </c>
      <c r="C4" s="14" t="s">
        <v>21</v>
      </c>
      <c r="D4" s="14" t="s">
        <v>22</v>
      </c>
      <c r="E4" s="14" t="s">
        <v>23</v>
      </c>
      <c r="F4" s="14" t="s">
        <v>24</v>
      </c>
      <c r="G4" s="15" t="s">
        <v>25</v>
      </c>
      <c r="H4" s="16">
        <f>IFERROR(VLOOKUP(G4,'Perfis profissionais'!$A$3:$B$6,2,FALSE),"")</f>
        <v>2.1</v>
      </c>
      <c r="I4" s="16">
        <f ca="1">SUMIF(horas_estimada[],'Catálogo de Serviços Preço UST'!A4,horas_estimada[Horas Estimadas])</f>
        <v>41.5</v>
      </c>
      <c r="J4" s="16">
        <f t="shared" ref="J4:J23" ca="1" si="0">H4*I4</f>
        <v>87.15</v>
      </c>
      <c r="K4" s="16">
        <v>2</v>
      </c>
      <c r="L4" s="16">
        <f ca="1">catalogo[[#This Row],[Esforço em horas (horas estimadas)]]*catalogo[[#This Row],[Estimativa de execução em 12 meses]]</f>
        <v>83</v>
      </c>
      <c r="M4" s="36">
        <f t="shared" ref="M4:M23" ca="1" si="1">ROUND(J4*K4,0)</f>
        <v>174</v>
      </c>
      <c r="N4" s="16">
        <f ca="1">ROUNDUP(catalogo[[#This Row],[Esforço em horas (horas estimadas)]]*(14/8),0)</f>
        <v>73</v>
      </c>
      <c r="O4" s="16" t="s">
        <v>26</v>
      </c>
      <c r="P4" s="27">
        <f ca="1">IF($C$2="","",catalogo[[#This Row],[Quantidade de UST ]]*$C$2)</f>
        <v>0</v>
      </c>
      <c r="Q4" s="29">
        <f ca="1">IF($C$2="","",catalogo[[#This Row],[Valor estimado do serviço com base no valor ofertado no Pregão]]*catalogo[[#This Row],[Estimativa de execução em 12 meses]])</f>
        <v>0</v>
      </c>
    </row>
    <row r="5" spans="1:17" ht="90" x14ac:dyDescent="0.25">
      <c r="A5" s="13" t="s">
        <v>27</v>
      </c>
      <c r="B5" s="14" t="s">
        <v>20</v>
      </c>
      <c r="C5" s="14" t="s">
        <v>28</v>
      </c>
      <c r="D5" s="14" t="s">
        <v>29</v>
      </c>
      <c r="E5" s="14" t="s">
        <v>30</v>
      </c>
      <c r="F5" s="14" t="s">
        <v>31</v>
      </c>
      <c r="G5" s="15" t="s">
        <v>25</v>
      </c>
      <c r="H5" s="16">
        <f>IFERROR(VLOOKUP(G5,'Perfis profissionais'!$A$3:$B$6,2,FALSE),"")</f>
        <v>2.1</v>
      </c>
      <c r="I5" s="16">
        <f ca="1">SUMIF(horas_estimada[],'Catálogo de Serviços Preço UST'!A5,horas_estimada[Horas Estimadas])</f>
        <v>42.5</v>
      </c>
      <c r="J5" s="16">
        <f t="shared" ca="1" si="0"/>
        <v>89.25</v>
      </c>
      <c r="K5" s="16">
        <v>2</v>
      </c>
      <c r="L5" s="16">
        <f ca="1">catalogo[[#This Row],[Esforço em horas (horas estimadas)]]*catalogo[[#This Row],[Estimativa de execução em 12 meses]]</f>
        <v>85</v>
      </c>
      <c r="M5" s="36">
        <f t="shared" ca="1" si="1"/>
        <v>179</v>
      </c>
      <c r="N5" s="16">
        <f ca="1">ROUNDUP(catalogo[[#This Row],[Esforço em horas (horas estimadas)]]*(14/8),0)</f>
        <v>75</v>
      </c>
      <c r="O5" s="16" t="s">
        <v>32</v>
      </c>
      <c r="P5" s="27">
        <f ca="1">IF($C$2="","",catalogo[[#This Row],[Quantidade de UST ]]*$C$2)</f>
        <v>0</v>
      </c>
      <c r="Q5" s="29">
        <f ca="1">IF($C$2="","",catalogo[[#This Row],[Valor estimado do serviço com base no valor ofertado no Pregão]]*catalogo[[#This Row],[Estimativa de execução em 12 meses]])</f>
        <v>0</v>
      </c>
    </row>
    <row r="6" spans="1:17" ht="75" x14ac:dyDescent="0.25">
      <c r="A6" s="13" t="s">
        <v>33</v>
      </c>
      <c r="B6" s="14" t="s">
        <v>20</v>
      </c>
      <c r="C6" s="14" t="s">
        <v>34</v>
      </c>
      <c r="D6" s="14" t="s">
        <v>35</v>
      </c>
      <c r="E6" s="14" t="s">
        <v>36</v>
      </c>
      <c r="F6" s="14" t="s">
        <v>31</v>
      </c>
      <c r="G6" s="15" t="s">
        <v>25</v>
      </c>
      <c r="H6" s="16">
        <f>IFERROR(VLOOKUP(G6,'Perfis profissionais'!$A$3:$B$6,2,FALSE),"")</f>
        <v>2.1</v>
      </c>
      <c r="I6" s="16">
        <f ca="1">SUMIF(horas_estimada[],'Catálogo de Serviços Preço UST'!A6,horas_estimada[Horas Estimadas])</f>
        <v>9.9</v>
      </c>
      <c r="J6" s="16">
        <f t="shared" ca="1" si="0"/>
        <v>20.790000000000003</v>
      </c>
      <c r="K6" s="16">
        <v>2</v>
      </c>
      <c r="L6" s="16">
        <f ca="1">catalogo[[#This Row],[Esforço em horas (horas estimadas)]]*catalogo[[#This Row],[Estimativa de execução em 12 meses]]</f>
        <v>19.8</v>
      </c>
      <c r="M6" s="36">
        <f t="shared" ca="1" si="1"/>
        <v>42</v>
      </c>
      <c r="N6" s="16">
        <f ca="1">ROUNDUP(catalogo[[#This Row],[Esforço em horas (horas estimadas)]]*(14/8),0)</f>
        <v>18</v>
      </c>
      <c r="O6" s="16" t="s">
        <v>32</v>
      </c>
      <c r="P6" s="27">
        <f ca="1">IF($C$2="","",catalogo[[#This Row],[Quantidade de UST ]]*$C$2)</f>
        <v>0</v>
      </c>
      <c r="Q6" s="29">
        <f ca="1">IF($C$2="","",catalogo[[#This Row],[Valor estimado do serviço com base no valor ofertado no Pregão]]*catalogo[[#This Row],[Estimativa de execução em 12 meses]])</f>
        <v>0</v>
      </c>
    </row>
    <row r="7" spans="1:17" ht="90" x14ac:dyDescent="0.25">
      <c r="A7" s="13" t="s">
        <v>37</v>
      </c>
      <c r="B7" s="14" t="s">
        <v>20</v>
      </c>
      <c r="C7" s="14" t="s">
        <v>38</v>
      </c>
      <c r="D7" s="14" t="s">
        <v>39</v>
      </c>
      <c r="E7" s="14" t="s">
        <v>40</v>
      </c>
      <c r="F7" s="14" t="s">
        <v>24</v>
      </c>
      <c r="G7" s="15" t="s">
        <v>25</v>
      </c>
      <c r="H7" s="16">
        <f>IFERROR(VLOOKUP(G7,'Perfis profissionais'!$A$3:$B$6,2,FALSE),"")</f>
        <v>2.1</v>
      </c>
      <c r="I7" s="16">
        <f ca="1">SUMIF(horas_estimada[],'Catálogo de Serviços Preço UST'!A7,horas_estimada[Horas Estimadas])</f>
        <v>33.5</v>
      </c>
      <c r="J7" s="16">
        <f t="shared" ca="1" si="0"/>
        <v>70.350000000000009</v>
      </c>
      <c r="K7" s="16">
        <v>3</v>
      </c>
      <c r="L7" s="16">
        <f ca="1">catalogo[[#This Row],[Esforço em horas (horas estimadas)]]*catalogo[[#This Row],[Estimativa de execução em 12 meses]]</f>
        <v>100.5</v>
      </c>
      <c r="M7" s="36">
        <f t="shared" ca="1" si="1"/>
        <v>211</v>
      </c>
      <c r="N7" s="16">
        <f ca="1">ROUNDUP(catalogo[[#This Row],[Esforço em horas (horas estimadas)]]*(14/8),0)</f>
        <v>59</v>
      </c>
      <c r="O7" s="16" t="s">
        <v>41</v>
      </c>
      <c r="P7" s="27">
        <f ca="1">IF($C$2="","",catalogo[[#This Row],[Quantidade de UST ]]*$C$2)</f>
        <v>0</v>
      </c>
      <c r="Q7" s="29">
        <f ca="1">IF($C$2="","",catalogo[[#This Row],[Valor estimado do serviço com base no valor ofertado no Pregão]]*catalogo[[#This Row],[Estimativa de execução em 12 meses]])</f>
        <v>0</v>
      </c>
    </row>
    <row r="8" spans="1:17" ht="90" x14ac:dyDescent="0.25">
      <c r="A8" s="13" t="s">
        <v>42</v>
      </c>
      <c r="B8" s="14" t="s">
        <v>20</v>
      </c>
      <c r="C8" s="14" t="s">
        <v>43</v>
      </c>
      <c r="D8" s="57" t="s">
        <v>44</v>
      </c>
      <c r="E8" s="14" t="s">
        <v>45</v>
      </c>
      <c r="F8" s="14" t="s">
        <v>46</v>
      </c>
      <c r="G8" s="16" t="s">
        <v>25</v>
      </c>
      <c r="H8" s="16">
        <f>IFERROR(VLOOKUP(G8,'Perfis profissionais'!$A$3:$B$6,2,FALSE),"")</f>
        <v>2.1</v>
      </c>
      <c r="I8" s="16">
        <f ca="1">SUMIF(horas_estimada[],'Catálogo de Serviços Preço UST'!A8,horas_estimada[Horas Estimadas])</f>
        <v>8</v>
      </c>
      <c r="J8" s="16">
        <f t="shared" ref="J8" ca="1" si="2">H8*I8</f>
        <v>16.8</v>
      </c>
      <c r="K8" s="16">
        <v>12</v>
      </c>
      <c r="L8" s="16">
        <f ca="1">catalogo[[#This Row],[Esforço em horas (horas estimadas)]]*catalogo[[#This Row],[Estimativa de execução em 12 meses]]</f>
        <v>96</v>
      </c>
      <c r="M8" s="36">
        <f t="shared" ref="M8" ca="1" si="3">ROUND(J8*K8,0)</f>
        <v>202</v>
      </c>
      <c r="N8" s="16">
        <f ca="1">ROUNDUP(catalogo[[#This Row],[Esforço em horas (horas estimadas)]]*(14/8),0)</f>
        <v>14</v>
      </c>
      <c r="O8" s="16" t="s">
        <v>47</v>
      </c>
      <c r="P8" s="27">
        <f ca="1">IF($C$2="","",catalogo[[#This Row],[Quantidade de UST ]]*$C$2)</f>
        <v>0</v>
      </c>
      <c r="Q8" s="29">
        <f ca="1">IF($C$2="","",catalogo[[#This Row],[Valor estimado do serviço com base no valor ofertado no Pregão]]*catalogo[[#This Row],[Estimativa de execução em 12 meses]])</f>
        <v>0</v>
      </c>
    </row>
    <row r="9" spans="1:17" ht="90" x14ac:dyDescent="0.25">
      <c r="A9" s="13" t="s">
        <v>48</v>
      </c>
      <c r="B9" s="14" t="s">
        <v>20</v>
      </c>
      <c r="C9" s="14" t="s">
        <v>49</v>
      </c>
      <c r="D9" s="57" t="s">
        <v>50</v>
      </c>
      <c r="E9" s="14" t="s">
        <v>45</v>
      </c>
      <c r="F9" s="14" t="s">
        <v>46</v>
      </c>
      <c r="G9" s="16" t="s">
        <v>51</v>
      </c>
      <c r="H9" s="16">
        <f>IFERROR(VLOOKUP(G9,'Perfis profissionais'!$A$3:$B$6,2,FALSE),"")</f>
        <v>1</v>
      </c>
      <c r="I9" s="16">
        <f ca="1">SUMIF(horas_estimada[],'Catálogo de Serviços Preço UST'!A9,horas_estimada[Horas Estimadas])</f>
        <v>8</v>
      </c>
      <c r="J9" s="16">
        <f t="shared" ca="1" si="0"/>
        <v>8</v>
      </c>
      <c r="K9" s="16">
        <v>12</v>
      </c>
      <c r="L9" s="16">
        <f ca="1">catalogo[[#This Row],[Esforço em horas (horas estimadas)]]*catalogo[[#This Row],[Estimativa de execução em 12 meses]]</f>
        <v>96</v>
      </c>
      <c r="M9" s="36">
        <f t="shared" ca="1" si="1"/>
        <v>96</v>
      </c>
      <c r="N9" s="16">
        <f ca="1">ROUNDUP(catalogo[[#This Row],[Esforço em horas (horas estimadas)]]*(14/8),0)</f>
        <v>14</v>
      </c>
      <c r="O9" s="16" t="s">
        <v>47</v>
      </c>
      <c r="P9" s="27">
        <f ca="1">IF($C$2="","",catalogo[[#This Row],[Quantidade de UST ]]*$C$2)</f>
        <v>0</v>
      </c>
      <c r="Q9" s="29">
        <f ca="1">IF($C$2="","",catalogo[[#This Row],[Valor estimado do serviço com base no valor ofertado no Pregão]]*catalogo[[#This Row],[Estimativa de execução em 12 meses]])</f>
        <v>0</v>
      </c>
    </row>
    <row r="10" spans="1:17" ht="90" x14ac:dyDescent="0.25">
      <c r="A10" s="13" t="s">
        <v>52</v>
      </c>
      <c r="B10" s="14" t="s">
        <v>20</v>
      </c>
      <c r="C10" s="14" t="s">
        <v>53</v>
      </c>
      <c r="D10" s="57" t="s">
        <v>54</v>
      </c>
      <c r="E10" s="14" t="s">
        <v>45</v>
      </c>
      <c r="F10" s="14" t="s">
        <v>46</v>
      </c>
      <c r="G10" s="15" t="s">
        <v>55</v>
      </c>
      <c r="H10" s="16">
        <f>IFERROR(VLOOKUP(G10,'Perfis profissionais'!$A$3:$B$6,2,FALSE),"")</f>
        <v>1.41</v>
      </c>
      <c r="I10" s="16">
        <f ca="1">SUMIF(horas_estimada[],'Catálogo de Serviços Preço UST'!A10,horas_estimada[Horas Estimadas])</f>
        <v>7.5</v>
      </c>
      <c r="J10" s="16">
        <f t="shared" ca="1" si="0"/>
        <v>10.574999999999999</v>
      </c>
      <c r="K10" s="16">
        <v>12</v>
      </c>
      <c r="L10" s="16">
        <f ca="1">catalogo[[#This Row],[Esforço em horas (horas estimadas)]]*catalogo[[#This Row],[Estimativa de execução em 12 meses]]</f>
        <v>90</v>
      </c>
      <c r="M10" s="36">
        <f t="shared" ca="1" si="1"/>
        <v>127</v>
      </c>
      <c r="N10" s="16">
        <f ca="1">ROUNDUP(catalogo[[#This Row],[Esforço em horas (horas estimadas)]]*(14/8),0)</f>
        <v>14</v>
      </c>
      <c r="O10" s="16" t="s">
        <v>47</v>
      </c>
      <c r="P10" s="27">
        <f ca="1">IF($C$2="","",catalogo[[#This Row],[Quantidade de UST ]]*$C$2)</f>
        <v>0</v>
      </c>
      <c r="Q10" s="29">
        <f ca="1">IF($C$2="","",catalogo[[#This Row],[Valor estimado do serviço com base no valor ofertado no Pregão]]*catalogo[[#This Row],[Estimativa de execução em 12 meses]])</f>
        <v>0</v>
      </c>
    </row>
    <row r="11" spans="1:17" ht="105" x14ac:dyDescent="0.25">
      <c r="A11" s="13" t="s">
        <v>56</v>
      </c>
      <c r="B11" s="14" t="s">
        <v>20</v>
      </c>
      <c r="C11" s="14" t="s">
        <v>57</v>
      </c>
      <c r="D11" s="14" t="s">
        <v>58</v>
      </c>
      <c r="E11" s="14" t="s">
        <v>59</v>
      </c>
      <c r="F11" s="14" t="s">
        <v>60</v>
      </c>
      <c r="G11" s="15" t="s">
        <v>51</v>
      </c>
      <c r="H11" s="16">
        <f>IFERROR(VLOOKUP(G11,'Perfis profissionais'!$A$3:$B$6,2,FALSE),"")</f>
        <v>1</v>
      </c>
      <c r="I11" s="16">
        <f ca="1">SUMIF(horas_estimada[],'Catálogo de Serviços Preço UST'!A11,horas_estimada[Horas Estimadas])</f>
        <v>5</v>
      </c>
      <c r="J11" s="16">
        <f t="shared" ca="1" si="0"/>
        <v>5</v>
      </c>
      <c r="K11" s="16">
        <v>5</v>
      </c>
      <c r="L11" s="16">
        <f ca="1">catalogo[[#This Row],[Esforço em horas (horas estimadas)]]*catalogo[[#This Row],[Estimativa de execução em 12 meses]]</f>
        <v>25</v>
      </c>
      <c r="M11" s="36">
        <f t="shared" ca="1" si="1"/>
        <v>25</v>
      </c>
      <c r="N11" s="16">
        <f ca="1">ROUNDUP(catalogo[[#This Row],[Esforço em horas (horas estimadas)]]*(14/8),0)</f>
        <v>9</v>
      </c>
      <c r="O11" s="16" t="s">
        <v>61</v>
      </c>
      <c r="P11" s="27">
        <f ca="1">IF($C$2="","",catalogo[[#This Row],[Quantidade de UST ]]*$C$2)</f>
        <v>0</v>
      </c>
      <c r="Q11" s="29">
        <f ca="1">IF($C$2="","",catalogo[[#This Row],[Valor estimado do serviço com base no valor ofertado no Pregão]]*catalogo[[#This Row],[Estimativa de execução em 12 meses]])</f>
        <v>0</v>
      </c>
    </row>
    <row r="12" spans="1:17" ht="120" x14ac:dyDescent="0.25">
      <c r="A12" s="13" t="s">
        <v>62</v>
      </c>
      <c r="B12" s="14" t="s">
        <v>20</v>
      </c>
      <c r="C12" s="14" t="s">
        <v>63</v>
      </c>
      <c r="D12" s="14" t="s">
        <v>58</v>
      </c>
      <c r="E12" s="14" t="s">
        <v>64</v>
      </c>
      <c r="F12" s="14" t="s">
        <v>60</v>
      </c>
      <c r="G12" s="15" t="s">
        <v>55</v>
      </c>
      <c r="H12" s="16">
        <f>IFERROR(VLOOKUP(G12,'Perfis profissionais'!$A$3:$B$6,2,FALSE),"")</f>
        <v>1.41</v>
      </c>
      <c r="I12" s="16">
        <f ca="1">SUMIF(horas_estimada[],'Catálogo de Serviços Preço UST'!A12,horas_estimada[Horas Estimadas])</f>
        <v>9.25</v>
      </c>
      <c r="J12" s="16">
        <f t="shared" ca="1" si="0"/>
        <v>13.042499999999999</v>
      </c>
      <c r="K12" s="16">
        <v>5</v>
      </c>
      <c r="L12" s="16">
        <f ca="1">catalogo[[#This Row],[Esforço em horas (horas estimadas)]]*catalogo[[#This Row],[Estimativa de execução em 12 meses]]</f>
        <v>46.25</v>
      </c>
      <c r="M12" s="36">
        <f t="shared" ca="1" si="1"/>
        <v>65</v>
      </c>
      <c r="N12" s="16">
        <f ca="1">ROUNDUP(catalogo[[#This Row],[Esforço em horas (horas estimadas)]]*(14/8),0)</f>
        <v>17</v>
      </c>
      <c r="O12" s="16" t="s">
        <v>65</v>
      </c>
      <c r="P12" s="27">
        <f ca="1">IF($C$2="","",catalogo[[#This Row],[Quantidade de UST ]]*$C$2)</f>
        <v>0</v>
      </c>
      <c r="Q12" s="29">
        <f ca="1">IF($C$2="","",catalogo[[#This Row],[Valor estimado do serviço com base no valor ofertado no Pregão]]*catalogo[[#This Row],[Estimativa de execução em 12 meses]])</f>
        <v>0</v>
      </c>
    </row>
    <row r="13" spans="1:17" ht="105" x14ac:dyDescent="0.25">
      <c r="A13" s="58" t="s">
        <v>66</v>
      </c>
      <c r="B13" s="14" t="s">
        <v>20</v>
      </c>
      <c r="C13" s="57" t="s">
        <v>67</v>
      </c>
      <c r="D13" s="17" t="s">
        <v>68</v>
      </c>
      <c r="E13" s="14" t="s">
        <v>69</v>
      </c>
      <c r="F13" s="14" t="s">
        <v>24</v>
      </c>
      <c r="G13" s="15" t="s">
        <v>25</v>
      </c>
      <c r="H13" s="16">
        <f>IFERROR(VLOOKUP(G13,'Perfis profissionais'!$A$3:$B$6,2,FALSE),"")</f>
        <v>2.1</v>
      </c>
      <c r="I13" s="16">
        <f ca="1">SUMIF(horas_estimada[],'Catálogo de Serviços Preço UST'!A13,horas_estimada[Horas Estimadas])</f>
        <v>9</v>
      </c>
      <c r="J13" s="16">
        <f t="shared" ca="1" si="0"/>
        <v>18.900000000000002</v>
      </c>
      <c r="K13" s="16">
        <v>12</v>
      </c>
      <c r="L13" s="16">
        <f ca="1">catalogo[[#This Row],[Esforço em horas (horas estimadas)]]*catalogo[[#This Row],[Estimativa de execução em 12 meses]]</f>
        <v>108</v>
      </c>
      <c r="M13" s="36">
        <f t="shared" ca="1" si="1"/>
        <v>227</v>
      </c>
      <c r="N13" s="16">
        <f ca="1">ROUNDUP(catalogo[[#This Row],[Esforço em horas (horas estimadas)]]*(14/8),0)</f>
        <v>16</v>
      </c>
      <c r="O13" s="16" t="s">
        <v>70</v>
      </c>
      <c r="P13" s="27">
        <f ca="1">IF($C$2="","",catalogo[[#This Row],[Quantidade de UST ]]*$C$2)</f>
        <v>0</v>
      </c>
      <c r="Q13" s="29">
        <f ca="1">IF($C$2="","",catalogo[[#This Row],[Valor estimado do serviço com base no valor ofertado no Pregão]]*catalogo[[#This Row],[Estimativa de execução em 12 meses]])</f>
        <v>0</v>
      </c>
    </row>
    <row r="14" spans="1:17" ht="105" x14ac:dyDescent="0.25">
      <c r="A14" s="13" t="s">
        <v>71</v>
      </c>
      <c r="B14" s="14" t="s">
        <v>20</v>
      </c>
      <c r="C14" s="57" t="s">
        <v>72</v>
      </c>
      <c r="D14" s="17" t="s">
        <v>68</v>
      </c>
      <c r="E14" s="14" t="s">
        <v>73</v>
      </c>
      <c r="F14" s="14" t="s">
        <v>24</v>
      </c>
      <c r="G14" s="15" t="s">
        <v>55</v>
      </c>
      <c r="H14" s="16">
        <f>IFERROR(VLOOKUP(G14,'Perfis profissionais'!$A$3:$B$6,2,FALSE),"")</f>
        <v>1.41</v>
      </c>
      <c r="I14" s="16">
        <f ca="1">SUMIF(horas_estimada[],'Catálogo de Serviços Preço UST'!A14,horas_estimada[Horas Estimadas])</f>
        <v>9</v>
      </c>
      <c r="J14" s="16">
        <f t="shared" ca="1" si="0"/>
        <v>12.69</v>
      </c>
      <c r="K14" s="16">
        <v>24</v>
      </c>
      <c r="L14" s="16">
        <f ca="1">catalogo[[#This Row],[Esforço em horas (horas estimadas)]]*catalogo[[#This Row],[Estimativa de execução em 12 meses]]</f>
        <v>216</v>
      </c>
      <c r="M14" s="36">
        <f t="shared" ca="1" si="1"/>
        <v>305</v>
      </c>
      <c r="N14" s="16">
        <f ca="1">ROUNDUP(catalogo[[#This Row],[Esforço em horas (horas estimadas)]]*(14/8),0)</f>
        <v>16</v>
      </c>
      <c r="O14" s="16" t="s">
        <v>74</v>
      </c>
      <c r="P14" s="27">
        <f ca="1">IF($C$2="","",catalogo[[#This Row],[Quantidade de UST ]]*$C$2)</f>
        <v>0</v>
      </c>
      <c r="Q14" s="29">
        <f ca="1">IF($C$2="","",catalogo[[#This Row],[Valor estimado do serviço com base no valor ofertado no Pregão]]*catalogo[[#This Row],[Estimativa de execução em 12 meses]])</f>
        <v>0</v>
      </c>
    </row>
    <row r="15" spans="1:17" ht="105" x14ac:dyDescent="0.25">
      <c r="A15" s="13" t="s">
        <v>75</v>
      </c>
      <c r="B15" s="14" t="s">
        <v>20</v>
      </c>
      <c r="C15" s="57" t="s">
        <v>76</v>
      </c>
      <c r="D15" s="17" t="s">
        <v>77</v>
      </c>
      <c r="E15" s="14" t="s">
        <v>73</v>
      </c>
      <c r="F15" s="14" t="s">
        <v>24</v>
      </c>
      <c r="G15" s="15" t="s">
        <v>51</v>
      </c>
      <c r="H15" s="16">
        <f>IFERROR(VLOOKUP(G15,'Perfis profissionais'!$A$3:$B$6,2,FALSE),"")</f>
        <v>1</v>
      </c>
      <c r="I15" s="16">
        <f ca="1">SUMIF(horas_estimada[],'Catálogo de Serviços Preço UST'!A15,horas_estimada[Horas Estimadas])</f>
        <v>9</v>
      </c>
      <c r="J15" s="16">
        <f t="shared" ca="1" si="0"/>
        <v>9</v>
      </c>
      <c r="K15" s="16">
        <v>30</v>
      </c>
      <c r="L15" s="16">
        <f ca="1">catalogo[[#This Row],[Esforço em horas (horas estimadas)]]*catalogo[[#This Row],[Estimativa de execução em 12 meses]]</f>
        <v>270</v>
      </c>
      <c r="M15" s="36">
        <f t="shared" ca="1" si="1"/>
        <v>270</v>
      </c>
      <c r="N15" s="16">
        <f ca="1">ROUNDUP(catalogo[[#This Row],[Esforço em horas (horas estimadas)]]*(14/8),0)</f>
        <v>16</v>
      </c>
      <c r="O15" s="16" t="s">
        <v>78</v>
      </c>
      <c r="P15" s="27">
        <f ca="1">IF($C$2="","",catalogo[[#This Row],[Quantidade de UST ]]*$C$2)</f>
        <v>0</v>
      </c>
      <c r="Q15" s="29">
        <f ca="1">IF($C$2="","",catalogo[[#This Row],[Valor estimado do serviço com base no valor ofertado no Pregão]]*catalogo[[#This Row],[Estimativa de execução em 12 meses]])</f>
        <v>0</v>
      </c>
    </row>
    <row r="16" spans="1:17" ht="105" x14ac:dyDescent="0.25">
      <c r="A16" s="13" t="s">
        <v>79</v>
      </c>
      <c r="B16" s="14" t="s">
        <v>20</v>
      </c>
      <c r="C16" s="14" t="s">
        <v>80</v>
      </c>
      <c r="D16" s="14" t="s">
        <v>81</v>
      </c>
      <c r="E16" s="14" t="s">
        <v>82</v>
      </c>
      <c r="F16" s="14" t="s">
        <v>83</v>
      </c>
      <c r="G16" s="15" t="s">
        <v>51</v>
      </c>
      <c r="H16" s="16">
        <f>IFERROR(VLOOKUP(G16,'Perfis profissionais'!$A$3:$B$6,2,FALSE),"")</f>
        <v>1</v>
      </c>
      <c r="I16" s="16">
        <f ca="1">SUMIF(horas_estimada[],'Catálogo de Serviços Preço UST'!A16,horas_estimada[Horas Estimadas])</f>
        <v>4.5</v>
      </c>
      <c r="J16" s="16">
        <f t="shared" ca="1" si="0"/>
        <v>4.5</v>
      </c>
      <c r="K16" s="16">
        <v>500</v>
      </c>
      <c r="L16" s="16">
        <f ca="1">catalogo[[#This Row],[Esforço em horas (horas estimadas)]]*catalogo[[#This Row],[Estimativa de execução em 12 meses]]</f>
        <v>2250</v>
      </c>
      <c r="M16" s="36">
        <f t="shared" ca="1" si="1"/>
        <v>2250</v>
      </c>
      <c r="N16" s="16">
        <f ca="1">ROUNDUP(catalogo[[#This Row],[Esforço em horas (horas estimadas)]]*(14/8),0)</f>
        <v>8</v>
      </c>
      <c r="O16" s="16" t="s">
        <v>84</v>
      </c>
      <c r="P16" s="27">
        <f ca="1">IF($C$2="","",catalogo[[#This Row],[Quantidade de UST ]]*$C$2)</f>
        <v>0</v>
      </c>
      <c r="Q16" s="29">
        <f ca="1">IF($C$2="","",catalogo[[#This Row],[Valor estimado do serviço com base no valor ofertado no Pregão]]*catalogo[[#This Row],[Estimativa de execução em 12 meses]])</f>
        <v>0</v>
      </c>
    </row>
    <row r="17" spans="1:17" ht="105" x14ac:dyDescent="0.25">
      <c r="A17" s="13" t="s">
        <v>85</v>
      </c>
      <c r="B17" s="14" t="s">
        <v>20</v>
      </c>
      <c r="C17" s="14" t="s">
        <v>86</v>
      </c>
      <c r="D17" s="14" t="s">
        <v>81</v>
      </c>
      <c r="E17" s="14" t="s">
        <v>87</v>
      </c>
      <c r="F17" s="14" t="s">
        <v>83</v>
      </c>
      <c r="G17" s="16" t="s">
        <v>55</v>
      </c>
      <c r="H17" s="16">
        <f>IFERROR(VLOOKUP(G17,'Perfis profissionais'!$A$3:$B$6,2,FALSE),"")</f>
        <v>1.41</v>
      </c>
      <c r="I17" s="16">
        <f ca="1">SUMIF(horas_estimada[],'Catálogo de Serviços Preço UST'!A17,horas_estimada[Horas Estimadas])</f>
        <v>7.5</v>
      </c>
      <c r="J17" s="16">
        <f t="shared" ca="1" si="0"/>
        <v>10.574999999999999</v>
      </c>
      <c r="K17" s="16">
        <v>400</v>
      </c>
      <c r="L17" s="16">
        <f ca="1">catalogo[[#This Row],[Esforço em horas (horas estimadas)]]*catalogo[[#This Row],[Estimativa de execução em 12 meses]]</f>
        <v>3000</v>
      </c>
      <c r="M17" s="36">
        <f t="shared" ca="1" si="1"/>
        <v>4230</v>
      </c>
      <c r="N17" s="16">
        <f ca="1">ROUNDUP(catalogo[[#This Row],[Esforço em horas (horas estimadas)]]*(14/8),0)</f>
        <v>14</v>
      </c>
      <c r="O17" s="16" t="s">
        <v>84</v>
      </c>
      <c r="P17" s="27">
        <f ca="1">IF($C$2="","",catalogo[[#This Row],[Quantidade de UST ]]*$C$2)</f>
        <v>0</v>
      </c>
      <c r="Q17" s="29">
        <f ca="1">IF($C$2="","",catalogo[[#This Row],[Valor estimado do serviço com base no valor ofertado no Pregão]]*catalogo[[#This Row],[Estimativa de execução em 12 meses]])</f>
        <v>0</v>
      </c>
    </row>
    <row r="18" spans="1:17" ht="90" x14ac:dyDescent="0.25">
      <c r="A18" s="13" t="s">
        <v>88</v>
      </c>
      <c r="B18" s="14" t="s">
        <v>20</v>
      </c>
      <c r="C18" s="14" t="s">
        <v>89</v>
      </c>
      <c r="D18" s="14" t="s">
        <v>90</v>
      </c>
      <c r="E18" s="14" t="s">
        <v>91</v>
      </c>
      <c r="F18" s="14" t="s">
        <v>92</v>
      </c>
      <c r="G18" s="15" t="s">
        <v>55</v>
      </c>
      <c r="H18" s="16">
        <f>IFERROR(VLOOKUP(G18,'Perfis profissionais'!$A$3:$B$6,2,FALSE),"")</f>
        <v>1.41</v>
      </c>
      <c r="I18" s="16">
        <f ca="1">SUMIF(horas_estimada[],'Catálogo de Serviços Preço UST'!A18,horas_estimada[Horas Estimadas])</f>
        <v>14</v>
      </c>
      <c r="J18" s="16">
        <f t="shared" ca="1" si="0"/>
        <v>19.739999999999998</v>
      </c>
      <c r="K18" s="16">
        <v>10</v>
      </c>
      <c r="L18" s="16">
        <f ca="1">catalogo[[#This Row],[Esforço em horas (horas estimadas)]]*catalogo[[#This Row],[Estimativa de execução em 12 meses]]</f>
        <v>140</v>
      </c>
      <c r="M18" s="36">
        <f t="shared" ca="1" si="1"/>
        <v>197</v>
      </c>
      <c r="N18" s="16">
        <f ca="1">ROUNDUP(catalogo[[#This Row],[Esforço em horas (horas estimadas)]]*(14/8),0)</f>
        <v>25</v>
      </c>
      <c r="O18" s="16" t="s">
        <v>93</v>
      </c>
      <c r="P18" s="27">
        <f ca="1">IF($C$2="","",catalogo[[#This Row],[Quantidade de UST ]]*$C$2)</f>
        <v>0</v>
      </c>
      <c r="Q18" s="29">
        <f ca="1">IF($C$2="","",catalogo[[#This Row],[Valor estimado do serviço com base no valor ofertado no Pregão]]*catalogo[[#This Row],[Estimativa de execução em 12 meses]])</f>
        <v>0</v>
      </c>
    </row>
    <row r="19" spans="1:17" ht="165" x14ac:dyDescent="0.25">
      <c r="A19" s="13" t="s">
        <v>94</v>
      </c>
      <c r="B19" s="14" t="s">
        <v>20</v>
      </c>
      <c r="C19" s="14" t="s">
        <v>95</v>
      </c>
      <c r="D19" s="14" t="s">
        <v>96</v>
      </c>
      <c r="E19" s="14" t="s">
        <v>97</v>
      </c>
      <c r="F19" s="14" t="s">
        <v>98</v>
      </c>
      <c r="G19" s="15" t="s">
        <v>51</v>
      </c>
      <c r="H19" s="16">
        <f>IFERROR(VLOOKUP(G19,'Perfis profissionais'!$A$3:$B$6,2,FALSE),"")</f>
        <v>1</v>
      </c>
      <c r="I19" s="16">
        <f ca="1">SUMIF(horas_estimada[],'Catálogo de Serviços Preço UST'!A19,horas_estimada[Horas Estimadas])</f>
        <v>23.25</v>
      </c>
      <c r="J19" s="16">
        <f t="shared" ca="1" si="0"/>
        <v>23.25</v>
      </c>
      <c r="K19" s="16">
        <v>10</v>
      </c>
      <c r="L19" s="16">
        <f ca="1">catalogo[[#This Row],[Esforço em horas (horas estimadas)]]*catalogo[[#This Row],[Estimativa de execução em 12 meses]]</f>
        <v>232.5</v>
      </c>
      <c r="M19" s="36">
        <f t="shared" ca="1" si="1"/>
        <v>233</v>
      </c>
      <c r="N19" s="16">
        <f ca="1">ROUNDUP(catalogo[[#This Row],[Esforço em horas (horas estimadas)]]*(14/8),0)</f>
        <v>41</v>
      </c>
      <c r="O19" s="16" t="s">
        <v>99</v>
      </c>
      <c r="P19" s="27">
        <f ca="1">IF($C$2="","",catalogo[[#This Row],[Quantidade de UST ]]*$C$2)</f>
        <v>0</v>
      </c>
      <c r="Q19" s="29">
        <f ca="1">IF($C$2="","",catalogo[[#This Row],[Valor estimado do serviço com base no valor ofertado no Pregão]]*catalogo[[#This Row],[Estimativa de execução em 12 meses]])</f>
        <v>0</v>
      </c>
    </row>
    <row r="20" spans="1:17" ht="225" x14ac:dyDescent="0.25">
      <c r="A20" s="13" t="s">
        <v>100</v>
      </c>
      <c r="B20" s="14" t="s">
        <v>20</v>
      </c>
      <c r="C20" s="14" t="s">
        <v>101</v>
      </c>
      <c r="D20" s="14" t="s">
        <v>102</v>
      </c>
      <c r="E20" s="14" t="s">
        <v>103</v>
      </c>
      <c r="F20" s="14" t="s">
        <v>104</v>
      </c>
      <c r="G20" s="15" t="s">
        <v>55</v>
      </c>
      <c r="H20" s="16">
        <f>IFERROR(VLOOKUP(G20,'Perfis profissionais'!$A$3:$B$6,2,FALSE),"")</f>
        <v>1.41</v>
      </c>
      <c r="I20" s="16">
        <f ca="1">SUMIF(horas_estimada[],'Catálogo de Serviços Preço UST'!A20,horas_estimada[Horas Estimadas])</f>
        <v>38.549999999999997</v>
      </c>
      <c r="J20" s="16">
        <f t="shared" ca="1" si="0"/>
        <v>54.355499999999992</v>
      </c>
      <c r="K20" s="16">
        <v>45</v>
      </c>
      <c r="L20" s="16">
        <f ca="1">catalogo[[#This Row],[Esforço em horas (horas estimadas)]]*catalogo[[#This Row],[Estimativa de execução em 12 meses]]</f>
        <v>1734.7499999999998</v>
      </c>
      <c r="M20" s="36">
        <f t="shared" ca="1" si="1"/>
        <v>2446</v>
      </c>
      <c r="N20" s="16">
        <f ca="1">ROUNDUP(catalogo[[#This Row],[Esforço em horas (horas estimadas)]]*(14/8),0)</f>
        <v>68</v>
      </c>
      <c r="O20" s="16" t="s">
        <v>105</v>
      </c>
      <c r="P20" s="27">
        <f ca="1">IF($C$2="","",catalogo[[#This Row],[Quantidade de UST ]]*$C$2)</f>
        <v>0</v>
      </c>
      <c r="Q20" s="29">
        <f ca="1">IF($C$2="","",catalogo[[#This Row],[Valor estimado do serviço com base no valor ofertado no Pregão]]*catalogo[[#This Row],[Estimativa de execução em 12 meses]])</f>
        <v>0</v>
      </c>
    </row>
    <row r="21" spans="1:17" ht="210" x14ac:dyDescent="0.25">
      <c r="A21" s="13" t="s">
        <v>106</v>
      </c>
      <c r="B21" s="14" t="s">
        <v>20</v>
      </c>
      <c r="C21" s="14" t="s">
        <v>107</v>
      </c>
      <c r="D21" s="14" t="s">
        <v>102</v>
      </c>
      <c r="E21" s="14" t="s">
        <v>108</v>
      </c>
      <c r="F21" s="14" t="s">
        <v>104</v>
      </c>
      <c r="G21" s="15" t="s">
        <v>55</v>
      </c>
      <c r="H21" s="16">
        <f>IFERROR(VLOOKUP(G21,'Perfis profissionais'!$A$3:$B$6,2,FALSE),"")</f>
        <v>1.41</v>
      </c>
      <c r="I21" s="16">
        <f ca="1">SUMIF(horas_estimada[],'Catálogo de Serviços Preço UST'!A21,horas_estimada[Horas Estimadas])</f>
        <v>35.549999999999997</v>
      </c>
      <c r="J21" s="16">
        <f t="shared" ca="1" si="0"/>
        <v>50.125499999999995</v>
      </c>
      <c r="K21" s="16">
        <v>45</v>
      </c>
      <c r="L21" s="16">
        <f ca="1">catalogo[[#This Row],[Esforço em horas (horas estimadas)]]*catalogo[[#This Row],[Estimativa de execução em 12 meses]]</f>
        <v>1599.7499999999998</v>
      </c>
      <c r="M21" s="36">
        <f t="shared" ca="1" si="1"/>
        <v>2256</v>
      </c>
      <c r="N21" s="16">
        <f ca="1">ROUNDUP(catalogo[[#This Row],[Esforço em horas (horas estimadas)]]*(14/8),0)</f>
        <v>63</v>
      </c>
      <c r="O21" s="16" t="s">
        <v>109</v>
      </c>
      <c r="P21" s="27">
        <f ca="1">IF($C$2="","",catalogo[[#This Row],[Quantidade de UST ]]*$C$2)</f>
        <v>0</v>
      </c>
      <c r="Q21" s="29">
        <f ca="1">IF($C$2="","",catalogo[[#This Row],[Valor estimado do serviço com base no valor ofertado no Pregão]]*catalogo[[#This Row],[Estimativa de execução em 12 meses]])</f>
        <v>0</v>
      </c>
    </row>
    <row r="22" spans="1:17" ht="240" x14ac:dyDescent="0.25">
      <c r="A22" s="13" t="s">
        <v>110</v>
      </c>
      <c r="B22" s="14" t="s">
        <v>20</v>
      </c>
      <c r="C22" s="14" t="s">
        <v>111</v>
      </c>
      <c r="D22" s="14" t="s">
        <v>102</v>
      </c>
      <c r="E22" s="14" t="s">
        <v>112</v>
      </c>
      <c r="F22" s="14" t="s">
        <v>104</v>
      </c>
      <c r="G22" s="15" t="s">
        <v>55</v>
      </c>
      <c r="H22" s="16">
        <f>IFERROR(VLOOKUP(G22,'Perfis profissionais'!$A$3:$B$6,2,FALSE),"")</f>
        <v>1.41</v>
      </c>
      <c r="I22" s="16">
        <f ca="1">SUMIF(horas_estimada[],'Catálogo de Serviços Preço UST'!A22,horas_estimada[Horas Estimadas])</f>
        <v>38.549999999999997</v>
      </c>
      <c r="J22" s="16">
        <f t="shared" ref="J22" ca="1" si="4">H22*I22</f>
        <v>54.355499999999992</v>
      </c>
      <c r="K22" s="16">
        <v>45</v>
      </c>
      <c r="L22" s="16">
        <f ca="1">catalogo[[#This Row],[Esforço em horas (horas estimadas)]]*catalogo[[#This Row],[Estimativa de execução em 12 meses]]</f>
        <v>1734.7499999999998</v>
      </c>
      <c r="M22" s="36">
        <f t="shared" ref="M22" ca="1" si="5">ROUND(J22*K22,0)</f>
        <v>2446</v>
      </c>
      <c r="N22" s="16">
        <f ca="1">ROUNDUP(catalogo[[#This Row],[Esforço em horas (horas estimadas)]]*(14/8),0)</f>
        <v>68</v>
      </c>
      <c r="O22" s="16" t="s">
        <v>109</v>
      </c>
      <c r="P22" s="27">
        <f ca="1">IF($C$2="","",catalogo[[#This Row],[Quantidade de UST ]]*$C$2)</f>
        <v>0</v>
      </c>
      <c r="Q22" s="29">
        <f ca="1">IF($C$2="","",catalogo[[#This Row],[Valor estimado do serviço com base no valor ofertado no Pregão]]*catalogo[[#This Row],[Estimativa de execução em 12 meses]])</f>
        <v>0</v>
      </c>
    </row>
    <row r="23" spans="1:17" ht="225" x14ac:dyDescent="0.25">
      <c r="A23" s="58" t="s">
        <v>113</v>
      </c>
      <c r="B23" s="14" t="s">
        <v>20</v>
      </c>
      <c r="C23" s="14" t="s">
        <v>114</v>
      </c>
      <c r="D23" s="14" t="s">
        <v>102</v>
      </c>
      <c r="E23" s="14" t="s">
        <v>115</v>
      </c>
      <c r="F23" s="14" t="s">
        <v>104</v>
      </c>
      <c r="G23" s="16" t="s">
        <v>55</v>
      </c>
      <c r="H23" s="16">
        <f>IFERROR(VLOOKUP(G23,'Perfis profissionais'!$A$3:$B$6,2,FALSE),"")</f>
        <v>1.41</v>
      </c>
      <c r="I23" s="16">
        <f ca="1">SUMIF(horas_estimada[],'Catálogo de Serviços Preço UST'!A23,horas_estimada[Horas Estimadas])</f>
        <v>15.25</v>
      </c>
      <c r="J23" s="16">
        <f t="shared" ca="1" si="0"/>
        <v>21.502499999999998</v>
      </c>
      <c r="K23" s="16">
        <v>50</v>
      </c>
      <c r="L23" s="16">
        <f ca="1">catalogo[[#This Row],[Esforço em horas (horas estimadas)]]*catalogo[[#This Row],[Estimativa de execução em 12 meses]]</f>
        <v>762.5</v>
      </c>
      <c r="M23" s="36">
        <f t="shared" ca="1" si="1"/>
        <v>1075</v>
      </c>
      <c r="N23" s="16">
        <f ca="1">ROUNDUP(catalogo[[#This Row],[Esforço em horas (horas estimadas)]]*(14/8),0)</f>
        <v>27</v>
      </c>
      <c r="O23" s="16" t="s">
        <v>116</v>
      </c>
      <c r="P23" s="27">
        <f ca="1">IF($C$2="","",catalogo[[#This Row],[Quantidade de UST ]]*$C$2)</f>
        <v>0</v>
      </c>
      <c r="Q23" s="29">
        <f ca="1">IF($C$2="","",catalogo[[#This Row],[Valor estimado do serviço com base no valor ofertado no Pregão]]*catalogo[[#This Row],[Estimativa de execução em 12 meses]])</f>
        <v>0</v>
      </c>
    </row>
    <row r="24" spans="1:17" s="14" customFormat="1" ht="225" x14ac:dyDescent="0.25">
      <c r="A24" s="16" t="s">
        <v>117</v>
      </c>
      <c r="B24" s="14" t="s">
        <v>118</v>
      </c>
      <c r="C24" s="14" t="s">
        <v>119</v>
      </c>
      <c r="D24" s="14" t="s">
        <v>120</v>
      </c>
      <c r="E24" s="14" t="s">
        <v>121</v>
      </c>
      <c r="F24" s="14" t="s">
        <v>122</v>
      </c>
      <c r="G24" s="14" t="s">
        <v>123</v>
      </c>
      <c r="H24" s="16">
        <f>IFERROR(VLOOKUP(G24,'Perfis profissionais'!$A$3:$B$6,2,FALSE),"")</f>
        <v>1.45</v>
      </c>
      <c r="I24" s="16">
        <f ca="1">SUMIF(horas_estimada[],'Catálogo de Serviços Preço UST'!A24,horas_estimada[Horas Estimadas])</f>
        <v>29.25</v>
      </c>
      <c r="J24" s="16">
        <f ca="1">H24*I24</f>
        <v>42.412500000000001</v>
      </c>
      <c r="K24" s="16">
        <f>11+10*2</f>
        <v>31</v>
      </c>
      <c r="L24" s="16">
        <f ca="1">catalogo[[#This Row],[Esforço em horas (horas estimadas)]]*catalogo[[#This Row],[Estimativa de execução em 12 meses]]</f>
        <v>906.75</v>
      </c>
      <c r="M24" s="16">
        <f ca="1">ROUND(J24*K24,0)</f>
        <v>1315</v>
      </c>
      <c r="N24" s="16">
        <f ca="1">ROUNDUP(catalogo[[#This Row],[Esforço em horas (horas estimadas)]]*(14/8),0)</f>
        <v>52</v>
      </c>
      <c r="O24" s="14" t="s">
        <v>124</v>
      </c>
      <c r="Q24" s="14">
        <f>IF($C$2="","",catalogo[[#This Row],[Valor estimado do serviço com base no valor ofertado no Pregão]]*catalogo[[#This Row],[Estimativa de execução em 12 meses]])</f>
        <v>0</v>
      </c>
    </row>
    <row r="25" spans="1:17" s="14" customFormat="1" ht="195" x14ac:dyDescent="0.25">
      <c r="A25" s="16" t="s">
        <v>125</v>
      </c>
      <c r="B25" s="14" t="s">
        <v>118</v>
      </c>
      <c r="C25" s="14" t="s">
        <v>126</v>
      </c>
      <c r="D25" s="14" t="s">
        <v>120</v>
      </c>
      <c r="E25" s="14" t="s">
        <v>127</v>
      </c>
      <c r="F25" s="14" t="s">
        <v>122</v>
      </c>
      <c r="G25" s="14" t="s">
        <v>123</v>
      </c>
      <c r="H25" s="16">
        <f>IFERROR(VLOOKUP(G25,'Perfis profissionais'!$A$3:$B$6,2,FALSE),"")</f>
        <v>1.45</v>
      </c>
      <c r="I25" s="16">
        <f ca="1">SUMIF(horas_estimada[],'Catálogo de Serviços Preço UST'!A25,horas_estimada[Horas Estimadas])</f>
        <v>19.25</v>
      </c>
      <c r="J25" s="16">
        <f ca="1">H25*I25</f>
        <v>27.912499999999998</v>
      </c>
      <c r="K25" s="16">
        <f>11+10*2</f>
        <v>31</v>
      </c>
      <c r="L25" s="16">
        <f ca="1">catalogo[[#This Row],[Esforço em horas (horas estimadas)]]*catalogo[[#This Row],[Estimativa de execução em 12 meses]]</f>
        <v>596.75</v>
      </c>
      <c r="M25" s="16">
        <f ca="1">ROUND(J25*K25,0)</f>
        <v>865</v>
      </c>
      <c r="N25" s="16">
        <f ca="1">ROUNDUP(catalogo[[#This Row],[Esforço em horas (horas estimadas)]]*(14/8),0)</f>
        <v>34</v>
      </c>
      <c r="O25" s="14" t="s">
        <v>124</v>
      </c>
      <c r="Q25" s="14">
        <f>IF($C$2="","",catalogo[[#This Row],[Valor estimado do serviço com base no valor ofertado no Pregão]]*catalogo[[#This Row],[Estimativa de execução em 12 meses]])</f>
        <v>0</v>
      </c>
    </row>
    <row r="26" spans="1:17" s="14" customFormat="1" ht="210" x14ac:dyDescent="0.25">
      <c r="A26" s="16" t="s">
        <v>128</v>
      </c>
      <c r="B26" s="14" t="s">
        <v>118</v>
      </c>
      <c r="C26" s="14" t="s">
        <v>129</v>
      </c>
      <c r="D26" s="14" t="s">
        <v>120</v>
      </c>
      <c r="E26" s="14" t="s">
        <v>130</v>
      </c>
      <c r="F26" s="14" t="s">
        <v>122</v>
      </c>
      <c r="G26" s="14" t="s">
        <v>123</v>
      </c>
      <c r="H26" s="16">
        <f>IFERROR(VLOOKUP(G26,'Perfis profissionais'!$A$3:$B$6,2,FALSE),"")</f>
        <v>1.45</v>
      </c>
      <c r="I26" s="16">
        <f ca="1">SUMIF(horas_estimada[],'Catálogo de Serviços Preço UST'!A26,horas_estimada[Horas Estimadas])</f>
        <v>10.25</v>
      </c>
      <c r="J26" s="16">
        <f ca="1">H26*I26</f>
        <v>14.862499999999999</v>
      </c>
      <c r="K26" s="16">
        <f>51+10*2</f>
        <v>71</v>
      </c>
      <c r="L26" s="16">
        <f ca="1">catalogo[[#This Row],[Esforço em horas (horas estimadas)]]*catalogo[[#This Row],[Estimativa de execução em 12 meses]]</f>
        <v>727.75</v>
      </c>
      <c r="M26" s="16">
        <f ca="1">ROUND(J26*K26,0)</f>
        <v>1055</v>
      </c>
      <c r="N26" s="16">
        <f ca="1">ROUNDUP(catalogo[[#This Row],[Esforço em horas (horas estimadas)]]*(14/8),0)</f>
        <v>18</v>
      </c>
      <c r="O26" s="14" t="s">
        <v>124</v>
      </c>
      <c r="Q26" s="14">
        <f>IF($C$2="","",catalogo[[#This Row],[Valor estimado do serviço com base no valor ofertado no Pregão]]*catalogo[[#This Row],[Estimativa de execução em 12 meses]])</f>
        <v>0</v>
      </c>
    </row>
    <row r="27" spans="1:17" s="6" customFormat="1" ht="178.5" x14ac:dyDescent="0.25">
      <c r="A27" s="13" t="s">
        <v>131</v>
      </c>
      <c r="B27" s="17" t="s">
        <v>132</v>
      </c>
      <c r="C27" s="18" t="s">
        <v>133</v>
      </c>
      <c r="D27" s="18" t="s">
        <v>134</v>
      </c>
      <c r="E27" s="18" t="s">
        <v>135</v>
      </c>
      <c r="F27" s="18" t="s">
        <v>136</v>
      </c>
      <c r="G27" s="15" t="s">
        <v>25</v>
      </c>
      <c r="H27" s="16">
        <f>IFERROR(VLOOKUP(G27,'Perfis profissionais'!$A$3:$B$6,2,FALSE),"")</f>
        <v>2.1</v>
      </c>
      <c r="I27" s="16">
        <f ca="1">SUMIF(horas_estimada[],'Catálogo de Serviços Preço UST'!A27,horas_estimada[Horas Estimadas])</f>
        <v>39.481999999999999</v>
      </c>
      <c r="J27" s="16">
        <f t="shared" ref="J27:J29" ca="1" si="6">H27*I27</f>
        <v>82.912199999999999</v>
      </c>
      <c r="K27" s="19">
        <v>4</v>
      </c>
      <c r="L27" s="19">
        <f ca="1">catalogo[[#This Row],[Esforço em horas (horas estimadas)]]*catalogo[[#This Row],[Estimativa de execução em 12 meses]]</f>
        <v>157.928</v>
      </c>
      <c r="M27" s="36">
        <f t="shared" ref="M27:M29" ca="1" si="7">ROUND(J27*K27,0)</f>
        <v>332</v>
      </c>
      <c r="N27" s="16">
        <f ca="1">ROUNDUP(catalogo[[#This Row],[Esforço em horas (horas estimadas)]]*(14/8),0)</f>
        <v>70</v>
      </c>
      <c r="O27" s="16" t="s">
        <v>137</v>
      </c>
      <c r="P27" s="27">
        <f ca="1">IF($C$2="","",catalogo[[#This Row],[Quantidade de UST ]]*$C$2)</f>
        <v>0</v>
      </c>
      <c r="Q27" s="29">
        <f ca="1">IF($C$2="","",catalogo[[#This Row],[Valor estimado do serviço com base no valor ofertado no Pregão]]*catalogo[[#This Row],[Estimativa de execução em 12 meses]])</f>
        <v>0</v>
      </c>
    </row>
    <row r="28" spans="1:17" s="6" customFormat="1" ht="178.5" x14ac:dyDescent="0.25">
      <c r="A28" s="13" t="s">
        <v>138</v>
      </c>
      <c r="B28" s="17" t="s">
        <v>132</v>
      </c>
      <c r="C28" s="18" t="s">
        <v>139</v>
      </c>
      <c r="D28" s="18" t="s">
        <v>134</v>
      </c>
      <c r="E28" s="18" t="s">
        <v>140</v>
      </c>
      <c r="F28" s="18" t="s">
        <v>136</v>
      </c>
      <c r="G28" s="15" t="s">
        <v>25</v>
      </c>
      <c r="H28" s="16">
        <f>IFERROR(VLOOKUP(G28,'Perfis profissionais'!$A$3:$B$6,2,FALSE),"")</f>
        <v>2.1</v>
      </c>
      <c r="I28" s="16">
        <f ca="1">SUMIF(horas_estimada[],'Catálogo de Serviços Preço UST'!A28,horas_estimada[Horas Estimadas])</f>
        <v>66.90100000000001</v>
      </c>
      <c r="J28" s="16">
        <f t="shared" ca="1" si="6"/>
        <v>140.49210000000002</v>
      </c>
      <c r="K28" s="19">
        <v>4</v>
      </c>
      <c r="L28" s="19">
        <f ca="1">catalogo[[#This Row],[Esforço em horas (horas estimadas)]]*catalogo[[#This Row],[Estimativa de execução em 12 meses]]</f>
        <v>267.60400000000004</v>
      </c>
      <c r="M28" s="36">
        <f t="shared" ca="1" si="7"/>
        <v>562</v>
      </c>
      <c r="N28" s="16">
        <f ca="1">ROUNDUP(catalogo[[#This Row],[Esforço em horas (horas estimadas)]]*(14/8),0)</f>
        <v>118</v>
      </c>
      <c r="O28" s="16" t="s">
        <v>137</v>
      </c>
      <c r="P28" s="27">
        <f ca="1">IF($C$2="","",catalogo[[#This Row],[Quantidade de UST ]]*$C$2)</f>
        <v>0</v>
      </c>
      <c r="Q28" s="29">
        <f ca="1">IF($C$2="","",catalogo[[#This Row],[Valor estimado do serviço com base no valor ofertado no Pregão]]*catalogo[[#This Row],[Estimativa de execução em 12 meses]])</f>
        <v>0</v>
      </c>
    </row>
    <row r="29" spans="1:17" s="6" customFormat="1" ht="178.5" x14ac:dyDescent="0.25">
      <c r="A29" s="13" t="s">
        <v>141</v>
      </c>
      <c r="B29" s="17" t="s">
        <v>132</v>
      </c>
      <c r="C29" s="18" t="s">
        <v>142</v>
      </c>
      <c r="D29" s="18" t="s">
        <v>134</v>
      </c>
      <c r="E29" s="18" t="s">
        <v>143</v>
      </c>
      <c r="F29" s="18" t="s">
        <v>136</v>
      </c>
      <c r="G29" s="15" t="s">
        <v>25</v>
      </c>
      <c r="H29" s="16">
        <f>IFERROR(VLOOKUP(G29,'Perfis profissionais'!$A$3:$B$6,2,FALSE),"")</f>
        <v>2.1</v>
      </c>
      <c r="I29" s="16">
        <f ca="1">SUMIF(horas_estimada[],'Catálogo de Serviços Preço UST'!A29,horas_estimada[Horas Estimadas])</f>
        <v>109.70400000000001</v>
      </c>
      <c r="J29" s="16">
        <f t="shared" ca="1" si="6"/>
        <v>230.37840000000003</v>
      </c>
      <c r="K29" s="19">
        <v>4</v>
      </c>
      <c r="L29" s="19">
        <f ca="1">catalogo[[#This Row],[Esforço em horas (horas estimadas)]]*catalogo[[#This Row],[Estimativa de execução em 12 meses]]</f>
        <v>438.81600000000003</v>
      </c>
      <c r="M29" s="36">
        <f t="shared" ca="1" si="7"/>
        <v>922</v>
      </c>
      <c r="N29" s="16">
        <f ca="1">ROUNDUP(catalogo[[#This Row],[Esforço em horas (horas estimadas)]]*(14/8),0)</f>
        <v>192</v>
      </c>
      <c r="O29" s="16" t="s">
        <v>137</v>
      </c>
      <c r="P29" s="27">
        <f ca="1">IF($C$2="","",catalogo[[#This Row],[Quantidade de UST ]]*$C$2)</f>
        <v>0</v>
      </c>
      <c r="Q29" s="29">
        <f ca="1">IF($C$2="","",catalogo[[#This Row],[Valor estimado do serviço com base no valor ofertado no Pregão]]*catalogo[[#This Row],[Estimativa de execução em 12 meses]])</f>
        <v>0</v>
      </c>
    </row>
    <row r="30" spans="1:17" x14ac:dyDescent="0.25">
      <c r="A30" s="20"/>
      <c r="B30" s="21"/>
      <c r="C30" s="22"/>
      <c r="D30" s="22"/>
      <c r="E30" s="23"/>
      <c r="F30" s="23"/>
      <c r="G30" s="24"/>
      <c r="H30" s="24"/>
      <c r="I30" s="24"/>
      <c r="J30" s="24"/>
      <c r="K30" s="24"/>
      <c r="L30" s="24">
        <f ca="1">SUBTOTAL(109,catalogo[Quantidade de horas para 12 meses])</f>
        <v>15785.397999999999</v>
      </c>
      <c r="M30" s="34">
        <f ca="1">SUBTOTAL(109,catalogo[Quantidade de UST para 12 meses])</f>
        <v>22107</v>
      </c>
      <c r="N30" s="24"/>
      <c r="O30" s="24"/>
      <c r="P30" s="35"/>
      <c r="Q30" s="30">
        <f ca="1">SUBTOTAL(109,catalogo[Valor estimado dos serviços em 12 meses com base no valor ofertado no Pregão])</f>
        <v>0</v>
      </c>
    </row>
  </sheetData>
  <mergeCells count="2">
    <mergeCell ref="A2:B2"/>
    <mergeCell ref="A1:Q1"/>
  </mergeCells>
  <dataValidations count="1">
    <dataValidation type="list" allowBlank="1" showInputMessage="1" showErrorMessage="1" sqref="G31:G1048576" xr:uid="{00000000-0002-0000-0000-000000000000}">
      <formula1>$A$3:$A$7</formula1>
    </dataValidation>
  </dataValidations>
  <pageMargins left="0.511811024" right="0.511811024" top="0.78740157499999996" bottom="0.78740157499999996" header="0.31496062000000002" footer="0.31496062000000002"/>
  <pageSetup paperSize="9" orientation="portrait" r:id="rId1"/>
  <legacy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'Perfis profissionais'!$A$3:$A$5</xm:f>
          </x14:formula1>
          <xm:sqref>G4:G29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CCAF0-4B21-4555-B8FC-08BC85D6EF19}">
  <dimension ref="A1:P154"/>
  <sheetViews>
    <sheetView showGridLines="0" zoomScale="110" zoomScaleNormal="110" workbookViewId="0">
      <selection activeCell="C6" sqref="C6"/>
    </sheetView>
  </sheetViews>
  <sheetFormatPr defaultColWidth="9.140625" defaultRowHeight="12.75" x14ac:dyDescent="0.2"/>
  <cols>
    <col min="1" max="1" width="5.140625" style="38" bestFit="1" customWidth="1"/>
    <col min="2" max="2" width="18.28515625" style="38" bestFit="1" customWidth="1"/>
    <col min="3" max="3" width="61.5703125" style="38" customWidth="1"/>
    <col min="4" max="4" width="72.5703125" style="38" customWidth="1"/>
    <col min="5" max="5" width="16.28515625" style="39" bestFit="1" customWidth="1"/>
    <col min="6" max="6" width="28.42578125" style="38" customWidth="1"/>
    <col min="7" max="7" width="52.5703125" style="40" customWidth="1"/>
    <col min="8" max="8" width="9.140625" style="38"/>
    <col min="9" max="10" width="11.42578125" style="38" bestFit="1" customWidth="1"/>
    <col min="11" max="16384" width="9.140625" style="38"/>
  </cols>
  <sheetData>
    <row r="1" spans="1:16" ht="21" x14ac:dyDescent="0.2">
      <c r="A1" s="108" t="s">
        <v>144</v>
      </c>
      <c r="B1" s="108"/>
      <c r="C1" s="108"/>
      <c r="D1" s="108"/>
      <c r="E1" s="108"/>
      <c r="F1" s="108"/>
      <c r="G1" s="33"/>
      <c r="H1" s="33"/>
      <c r="I1" s="33"/>
      <c r="J1" s="33"/>
      <c r="K1" s="33"/>
      <c r="L1" s="33"/>
      <c r="M1" s="33"/>
      <c r="N1" s="33"/>
      <c r="O1" s="33"/>
      <c r="P1" s="33"/>
    </row>
    <row r="2" spans="1:16" s="39" customFormat="1" ht="48" customHeight="1" thickBot="1" x14ac:dyDescent="0.3">
      <c r="A2" s="49" t="s">
        <v>2</v>
      </c>
      <c r="B2" s="49" t="s">
        <v>3</v>
      </c>
      <c r="C2" s="49" t="s">
        <v>145</v>
      </c>
      <c r="D2" s="50" t="s">
        <v>146</v>
      </c>
      <c r="E2" s="50" t="s">
        <v>147</v>
      </c>
      <c r="F2" s="50" t="s">
        <v>148</v>
      </c>
    </row>
    <row r="3" spans="1:16" ht="25.5" x14ac:dyDescent="0.2">
      <c r="A3" s="61" t="s">
        <v>19</v>
      </c>
      <c r="B3" s="62" t="str">
        <f>VLOOKUP(horas_estimada[[#This Row],[ID]],catalogo[],2,FALSE)</f>
        <v>Dados em SGBD</v>
      </c>
      <c r="C3" s="63" t="str">
        <f>VLOOKUP(horas_estimada[[#This Row],[ID]],catalogo[],3,FALSE)</f>
        <v>Apoiar a ELABORAÇÃO e divulgação de Documento de Diretrizes relacionado com a Governança de Dados</v>
      </c>
      <c r="D3" s="64" t="s">
        <v>149</v>
      </c>
      <c r="E3" s="65">
        <v>4</v>
      </c>
      <c r="F3" s="66"/>
    </row>
    <row r="4" spans="1:16" ht="25.5" x14ac:dyDescent="0.2">
      <c r="A4" s="67" t="s">
        <v>19</v>
      </c>
      <c r="B4" s="68" t="str">
        <f>VLOOKUP(horas_estimada[[#This Row],[ID]],catalogo[],2,FALSE)</f>
        <v>Dados em SGBD</v>
      </c>
      <c r="C4" s="69" t="str">
        <f>VLOOKUP(horas_estimada[[#This Row],[ID]],catalogo[],3,FALSE)</f>
        <v>Apoiar a ELABORAÇÃO e divulgação de Documento de Diretrizes relacionado com a Governança de Dados</v>
      </c>
      <c r="D4" s="70" t="s">
        <v>150</v>
      </c>
      <c r="E4" s="71">
        <v>1</v>
      </c>
      <c r="F4" s="72"/>
    </row>
    <row r="5" spans="1:16" ht="25.5" x14ac:dyDescent="0.2">
      <c r="A5" s="67" t="s">
        <v>19</v>
      </c>
      <c r="B5" s="68" t="str">
        <f>VLOOKUP(horas_estimada[[#This Row],[ID]],catalogo[],2,FALSE)</f>
        <v>Dados em SGBD</v>
      </c>
      <c r="C5" s="69" t="str">
        <f>VLOOKUP(horas_estimada[[#This Row],[ID]],catalogo[],3,FALSE)</f>
        <v>Apoiar a ELABORAÇÃO e divulgação de Documento de Diretrizes relacionado com a Governança de Dados</v>
      </c>
      <c r="D5" s="70" t="s">
        <v>151</v>
      </c>
      <c r="E5" s="71">
        <v>32</v>
      </c>
      <c r="F5" s="72"/>
      <c r="I5" s="38">
        <f>10/6</f>
        <v>1.6666666666666667</v>
      </c>
      <c r="J5" s="38">
        <f>I5/8</f>
        <v>0.20833333333333334</v>
      </c>
    </row>
    <row r="6" spans="1:16" ht="25.5" x14ac:dyDescent="0.2">
      <c r="A6" s="67" t="s">
        <v>19</v>
      </c>
      <c r="B6" s="68" t="str">
        <f>VLOOKUP(horas_estimada[[#This Row],[ID]],catalogo[],2,FALSE)</f>
        <v>Dados em SGBD</v>
      </c>
      <c r="C6" s="69" t="str">
        <f>VLOOKUP(horas_estimada[[#This Row],[ID]],catalogo[],3,FALSE)</f>
        <v>Apoiar a ELABORAÇÃO e divulgação de Documento de Diretrizes relacionado com a Governança de Dados</v>
      </c>
      <c r="D6" s="70" t="s">
        <v>152</v>
      </c>
      <c r="E6" s="71">
        <v>4</v>
      </c>
      <c r="F6" s="72"/>
    </row>
    <row r="7" spans="1:16" ht="26.25" thickBot="1" x14ac:dyDescent="0.25">
      <c r="A7" s="73" t="s">
        <v>19</v>
      </c>
      <c r="B7" s="74" t="str">
        <f>VLOOKUP(horas_estimada[[#This Row],[ID]],catalogo[],2,FALSE)</f>
        <v>Dados em SGBD</v>
      </c>
      <c r="C7" s="75" t="str">
        <f>VLOOKUP(horas_estimada[[#This Row],[ID]],catalogo[],3,FALSE)</f>
        <v>Apoiar a ELABORAÇÃO e divulgação de Documento de Diretrizes relacionado com a Governança de Dados</v>
      </c>
      <c r="D7" s="76" t="s">
        <v>153</v>
      </c>
      <c r="E7" s="77">
        <v>0.5</v>
      </c>
      <c r="F7" s="78"/>
    </row>
    <row r="8" spans="1:16" ht="25.5" x14ac:dyDescent="0.2">
      <c r="A8" s="79" t="s">
        <v>27</v>
      </c>
      <c r="B8" s="80" t="str">
        <f>VLOOKUP(horas_estimada[[#This Row],[ID]],catalogo[],2,FALSE)</f>
        <v>Dados em SGBD</v>
      </c>
      <c r="C8" s="81" t="str">
        <f>VLOOKUP(horas_estimada[[#This Row],[ID]],catalogo[],3,FALSE)</f>
        <v>Apoiar a ELABORAÇÃO e divulgação de Documento de procedimentos relacionado a Governança de informações digitais</v>
      </c>
      <c r="D8" s="82" t="s">
        <v>149</v>
      </c>
      <c r="E8" s="83">
        <v>5</v>
      </c>
      <c r="F8" s="51"/>
    </row>
    <row r="9" spans="1:16" ht="25.5" x14ac:dyDescent="0.2">
      <c r="A9" s="84" t="s">
        <v>27</v>
      </c>
      <c r="B9" s="55" t="str">
        <f>VLOOKUP(horas_estimada[[#This Row],[ID]],catalogo[],2,FALSE)</f>
        <v>Dados em SGBD</v>
      </c>
      <c r="C9" s="56" t="str">
        <f>VLOOKUP(horas_estimada[[#This Row],[ID]],catalogo[],3,FALSE)</f>
        <v>Apoiar a ELABORAÇÃO e divulgação de Documento de procedimentos relacionado a Governança de informações digitais</v>
      </c>
      <c r="D9" s="60" t="s">
        <v>150</v>
      </c>
      <c r="E9" s="54">
        <v>1</v>
      </c>
      <c r="F9" s="52"/>
    </row>
    <row r="10" spans="1:16" ht="25.5" x14ac:dyDescent="0.2">
      <c r="A10" s="84" t="s">
        <v>27</v>
      </c>
      <c r="B10" s="55" t="str">
        <f>VLOOKUP(horas_estimada[[#This Row],[ID]],catalogo[],2,FALSE)</f>
        <v>Dados em SGBD</v>
      </c>
      <c r="C10" s="56" t="str">
        <f>VLOOKUP(horas_estimada[[#This Row],[ID]],catalogo[],3,FALSE)</f>
        <v>Apoiar a ELABORAÇÃO e divulgação de Documento de procedimentos relacionado a Governança de informações digitais</v>
      </c>
      <c r="D10" s="60" t="s">
        <v>154</v>
      </c>
      <c r="E10" s="54">
        <v>32</v>
      </c>
      <c r="F10" s="52"/>
    </row>
    <row r="11" spans="1:16" ht="25.5" x14ac:dyDescent="0.2">
      <c r="A11" s="84" t="s">
        <v>27</v>
      </c>
      <c r="B11" s="55" t="str">
        <f>VLOOKUP(horas_estimada[[#This Row],[ID]],catalogo[],2,FALSE)</f>
        <v>Dados em SGBD</v>
      </c>
      <c r="C11" s="56" t="str">
        <f>VLOOKUP(horas_estimada[[#This Row],[ID]],catalogo[],3,FALSE)</f>
        <v>Apoiar a ELABORAÇÃO e divulgação de Documento de procedimentos relacionado a Governança de informações digitais</v>
      </c>
      <c r="D11" s="60" t="s">
        <v>152</v>
      </c>
      <c r="E11" s="54">
        <v>4</v>
      </c>
      <c r="F11" s="52"/>
    </row>
    <row r="12" spans="1:16" ht="26.25" thickBot="1" x14ac:dyDescent="0.25">
      <c r="A12" s="85" t="s">
        <v>27</v>
      </c>
      <c r="B12" s="86" t="str">
        <f>VLOOKUP(horas_estimada[[#This Row],[ID]],catalogo[],2,FALSE)</f>
        <v>Dados em SGBD</v>
      </c>
      <c r="C12" s="87" t="str">
        <f>VLOOKUP(horas_estimada[[#This Row],[ID]],catalogo[],3,FALSE)</f>
        <v>Apoiar a ELABORAÇÃO e divulgação de Documento de procedimentos relacionado a Governança de informações digitais</v>
      </c>
      <c r="D12" s="88" t="s">
        <v>153</v>
      </c>
      <c r="E12" s="89">
        <v>0.5</v>
      </c>
      <c r="F12" s="53"/>
    </row>
    <row r="13" spans="1:16" ht="25.5" x14ac:dyDescent="0.2">
      <c r="A13" s="61" t="s">
        <v>33</v>
      </c>
      <c r="B13" s="62" t="str">
        <f>VLOOKUP(horas_estimada[[#This Row],[ID]],catalogo[],2,FALSE)</f>
        <v>Dados em SGBD</v>
      </c>
      <c r="C13" s="63" t="str">
        <f>VLOOKUP(horas_estimada[[#This Row],[ID]],catalogo[],3,FALSE)</f>
        <v>Apoiar a ALTERAÇÃO e divulgação de Documento de procedimentos relacionado a Governança de informações digitais</v>
      </c>
      <c r="D13" s="64" t="s">
        <v>149</v>
      </c>
      <c r="E13" s="65">
        <v>1</v>
      </c>
      <c r="F13" s="66"/>
    </row>
    <row r="14" spans="1:16" ht="25.5" x14ac:dyDescent="0.2">
      <c r="A14" s="67" t="s">
        <v>33</v>
      </c>
      <c r="B14" s="68" t="str">
        <f>VLOOKUP(horas_estimada[[#This Row],[ID]],catalogo[],2,FALSE)</f>
        <v>Dados em SGBD</v>
      </c>
      <c r="C14" s="69" t="str">
        <f>VLOOKUP(horas_estimada[[#This Row],[ID]],catalogo[],3,FALSE)</f>
        <v>Apoiar a ALTERAÇÃO e divulgação de Documento de procedimentos relacionado a Governança de informações digitais</v>
      </c>
      <c r="D14" s="70" t="s">
        <v>155</v>
      </c>
      <c r="E14" s="71">
        <f>0.2*E10</f>
        <v>6.4</v>
      </c>
      <c r="F14" s="72"/>
    </row>
    <row r="15" spans="1:16" ht="25.5" x14ac:dyDescent="0.2">
      <c r="A15" s="67" t="s">
        <v>33</v>
      </c>
      <c r="B15" s="68" t="str">
        <f>VLOOKUP(horas_estimada[[#This Row],[ID]],catalogo[],2,FALSE)</f>
        <v>Dados em SGBD</v>
      </c>
      <c r="C15" s="69" t="str">
        <f>VLOOKUP(horas_estimada[[#This Row],[ID]],catalogo[],3,FALSE)</f>
        <v>Apoiar a ALTERAÇÃO e divulgação de Documento de procedimentos relacionado a Governança de informações digitais</v>
      </c>
      <c r="D15" s="70" t="s">
        <v>152</v>
      </c>
      <c r="E15" s="71">
        <v>2</v>
      </c>
      <c r="F15" s="72"/>
    </row>
    <row r="16" spans="1:16" ht="26.25" thickBot="1" x14ac:dyDescent="0.25">
      <c r="A16" s="73" t="s">
        <v>33</v>
      </c>
      <c r="B16" s="74" t="str">
        <f>VLOOKUP(horas_estimada[[#This Row],[ID]],catalogo[],2,FALSE)</f>
        <v>Dados em SGBD</v>
      </c>
      <c r="C16" s="75" t="str">
        <f>VLOOKUP(horas_estimada[[#This Row],[ID]],catalogo[],3,FALSE)</f>
        <v>Apoiar a ALTERAÇÃO e divulgação de Documento de procedimentos relacionado a Governança de informações digitais</v>
      </c>
      <c r="D16" s="76" t="s">
        <v>156</v>
      </c>
      <c r="E16" s="77">
        <v>0.5</v>
      </c>
      <c r="F16" s="78"/>
    </row>
    <row r="17" spans="1:6" ht="25.5" x14ac:dyDescent="0.2">
      <c r="A17" s="79" t="s">
        <v>37</v>
      </c>
      <c r="B17" s="80" t="str">
        <f>VLOOKUP(horas_estimada[[#This Row],[ID]],catalogo[],2,FALSE)</f>
        <v>Dados em SGBD</v>
      </c>
      <c r="C17" s="81" t="str">
        <f>VLOOKUP(horas_estimada[[#This Row],[ID]],catalogo[],3,FALSE)</f>
        <v>Apoiar a ELABORAÇÃO de parecer técnico a respeito de questão técnica relacionada com a gestão de informações digitais</v>
      </c>
      <c r="D17" s="82" t="s">
        <v>149</v>
      </c>
      <c r="E17" s="83">
        <v>4</v>
      </c>
      <c r="F17" s="51"/>
    </row>
    <row r="18" spans="1:6" ht="25.5" x14ac:dyDescent="0.2">
      <c r="A18" s="84" t="s">
        <v>37</v>
      </c>
      <c r="B18" s="55" t="str">
        <f>VLOOKUP(horas_estimada[[#This Row],[ID]],catalogo[],2,FALSE)</f>
        <v>Dados em SGBD</v>
      </c>
      <c r="C18" s="56" t="str">
        <f>VLOOKUP(horas_estimada[[#This Row],[ID]],catalogo[],3,FALSE)</f>
        <v>Apoiar a ELABORAÇÃO de parecer técnico a respeito de questão técnica relacionada com a gestão de informações digitais</v>
      </c>
      <c r="D18" s="60" t="s">
        <v>150</v>
      </c>
      <c r="E18" s="54">
        <v>1</v>
      </c>
      <c r="F18" s="52"/>
    </row>
    <row r="19" spans="1:6" ht="25.5" x14ac:dyDescent="0.2">
      <c r="A19" s="84" t="s">
        <v>37</v>
      </c>
      <c r="B19" s="55" t="str">
        <f>VLOOKUP(horas_estimada[[#This Row],[ID]],catalogo[],2,FALSE)</f>
        <v>Dados em SGBD</v>
      </c>
      <c r="C19" s="56" t="str">
        <f>VLOOKUP(horas_estimada[[#This Row],[ID]],catalogo[],3,FALSE)</f>
        <v>Apoiar a ELABORAÇÃO de parecer técnico a respeito de questão técnica relacionada com a gestão de informações digitais</v>
      </c>
      <c r="D19" s="60" t="s">
        <v>157</v>
      </c>
      <c r="E19" s="54">
        <v>24</v>
      </c>
      <c r="F19" s="52"/>
    </row>
    <row r="20" spans="1:6" ht="28.5" customHeight="1" x14ac:dyDescent="0.2">
      <c r="A20" s="84" t="s">
        <v>37</v>
      </c>
      <c r="B20" s="55" t="str">
        <f>VLOOKUP(horas_estimada[[#This Row],[ID]],catalogo[],2,FALSE)</f>
        <v>Dados em SGBD</v>
      </c>
      <c r="C20" s="56" t="str">
        <f>VLOOKUP(horas_estimada[[#This Row],[ID]],catalogo[],3,FALSE)</f>
        <v>Apoiar a ELABORAÇÃO de parecer técnico a respeito de questão técnica relacionada com a gestão de informações digitais</v>
      </c>
      <c r="D20" s="60" t="s">
        <v>152</v>
      </c>
      <c r="E20" s="54">
        <v>4</v>
      </c>
      <c r="F20" s="52"/>
    </row>
    <row r="21" spans="1:6" ht="26.25" thickBot="1" x14ac:dyDescent="0.25">
      <c r="A21" s="85" t="s">
        <v>37</v>
      </c>
      <c r="B21" s="86" t="str">
        <f>VLOOKUP(horas_estimada[[#This Row],[ID]],catalogo[],2,FALSE)</f>
        <v>Dados em SGBD</v>
      </c>
      <c r="C21" s="87" t="str">
        <f>VLOOKUP(horas_estimada[[#This Row],[ID]],catalogo[],3,FALSE)</f>
        <v>Apoiar a ELABORAÇÃO de parecer técnico a respeito de questão técnica relacionada com a gestão de informações digitais</v>
      </c>
      <c r="D21" s="88" t="s">
        <v>153</v>
      </c>
      <c r="E21" s="89">
        <v>0.5</v>
      </c>
      <c r="F21" s="53"/>
    </row>
    <row r="22" spans="1:6" ht="68.25" customHeight="1" x14ac:dyDescent="0.2">
      <c r="A22" s="61" t="s">
        <v>42</v>
      </c>
      <c r="B22" s="62" t="str">
        <f>VLOOKUP(horas_estimada[[#This Row],[ID]],catalogo[],2,FALSE)</f>
        <v>Dados em SGBD</v>
      </c>
      <c r="C22" s="63" t="str">
        <f>VLOOKUP(horas_estimada[[#This Row],[ID]],catalogo[],3,FALSE)</f>
        <v>Apoiar na resolução de questão técnica  relacionada direta ou indiretamente ao ambiente tecnológico de gestão de informações digitais, de alta complexidade
O problema a ser solucionado deverá ser compatível com o perfil técnico de um DBA Senior;</v>
      </c>
      <c r="D22" s="64" t="s">
        <v>158</v>
      </c>
      <c r="E22" s="65">
        <v>1</v>
      </c>
      <c r="F22" s="66"/>
    </row>
    <row r="23" spans="1:6" ht="63.75" x14ac:dyDescent="0.2">
      <c r="A23" s="67" t="s">
        <v>42</v>
      </c>
      <c r="B23" s="68" t="str">
        <f>VLOOKUP(horas_estimada[[#This Row],[ID]],catalogo[],2,FALSE)</f>
        <v>Dados em SGBD</v>
      </c>
      <c r="C23" s="69" t="str">
        <f>VLOOKUP(horas_estimada[[#This Row],[ID]],catalogo[],3,FALSE)</f>
        <v>Apoiar na resolução de questão técnica  relacionada direta ou indiretamente ao ambiente tecnológico de gestão de informações digitais, de alta complexidade
O problema a ser solucionado deverá ser compatível com o perfil técnico de um DBA Senior;</v>
      </c>
      <c r="D23" s="70" t="s">
        <v>159</v>
      </c>
      <c r="E23" s="71">
        <v>4</v>
      </c>
      <c r="F23" s="72"/>
    </row>
    <row r="24" spans="1:6" ht="63.75" x14ac:dyDescent="0.2">
      <c r="A24" s="67" t="s">
        <v>42</v>
      </c>
      <c r="B24" s="68" t="str">
        <f>VLOOKUP(horas_estimada[[#This Row],[ID]],catalogo[],2,FALSE)</f>
        <v>Dados em SGBD</v>
      </c>
      <c r="C24" s="69" t="str">
        <f>VLOOKUP(horas_estimada[[#This Row],[ID]],catalogo[],3,FALSE)</f>
        <v>Apoiar na resolução de questão técnica  relacionada direta ou indiretamente ao ambiente tecnológico de gestão de informações digitais, de alta complexidade
O problema a ser solucionado deverá ser compatível com o perfil técnico de um DBA Senior;</v>
      </c>
      <c r="D24" s="70" t="s">
        <v>160</v>
      </c>
      <c r="E24" s="71">
        <v>2</v>
      </c>
      <c r="F24" s="72"/>
    </row>
    <row r="25" spans="1:6" ht="64.5" thickBot="1" x14ac:dyDescent="0.25">
      <c r="A25" s="73" t="s">
        <v>42</v>
      </c>
      <c r="B25" s="74" t="str">
        <f>VLOOKUP(horas_estimada[[#This Row],[ID]],catalogo[],2,FALSE)</f>
        <v>Dados em SGBD</v>
      </c>
      <c r="C25" s="75" t="str">
        <f>VLOOKUP(horas_estimada[[#This Row],[ID]],catalogo[],3,FALSE)</f>
        <v>Apoiar na resolução de questão técnica  relacionada direta ou indiretamente ao ambiente tecnológico de gestão de informações digitais, de alta complexidade
O problema a ser solucionado deverá ser compatível com o perfil técnico de um DBA Senior;</v>
      </c>
      <c r="D25" s="76" t="s">
        <v>161</v>
      </c>
      <c r="E25" s="91">
        <v>1</v>
      </c>
      <c r="F25" s="78"/>
    </row>
    <row r="26" spans="1:6" ht="63.75" x14ac:dyDescent="0.2">
      <c r="A26" s="79" t="s">
        <v>48</v>
      </c>
      <c r="B26" s="80" t="str">
        <f>VLOOKUP(horas_estimada[[#This Row],[ID]],catalogo[],2,FALSE)</f>
        <v>Dados em SGBD</v>
      </c>
      <c r="C26" s="81" t="str">
        <f>VLOOKUP(horas_estimada[[#This Row],[ID]],catalogo[],3,FALSE)</f>
        <v>Apoiar na resolução de questão técnica  relacionada direta ou indiretamente ao ambiente tecnológico de gestão de informações digitais, de baixa complexidade
O problema a ser solucionado deverá ser compatível com o perfil técnico de um DBA Junior;</v>
      </c>
      <c r="D26" s="82" t="s">
        <v>158</v>
      </c>
      <c r="E26" s="83">
        <v>1</v>
      </c>
      <c r="F26" s="51"/>
    </row>
    <row r="27" spans="1:6" ht="63.75" x14ac:dyDescent="0.2">
      <c r="A27" s="84" t="s">
        <v>48</v>
      </c>
      <c r="B27" s="55" t="str">
        <f>VLOOKUP(horas_estimada[[#This Row],[ID]],catalogo[],2,FALSE)</f>
        <v>Dados em SGBD</v>
      </c>
      <c r="C27" s="56" t="str">
        <f>VLOOKUP(horas_estimada[[#This Row],[ID]],catalogo[],3,FALSE)</f>
        <v>Apoiar na resolução de questão técnica  relacionada direta ou indiretamente ao ambiente tecnológico de gestão de informações digitais, de baixa complexidade
O problema a ser solucionado deverá ser compatível com o perfil técnico de um DBA Junior;</v>
      </c>
      <c r="D27" s="60" t="s">
        <v>159</v>
      </c>
      <c r="E27" s="54">
        <v>4</v>
      </c>
      <c r="F27" s="52"/>
    </row>
    <row r="28" spans="1:6" ht="63.75" x14ac:dyDescent="0.2">
      <c r="A28" s="84" t="s">
        <v>48</v>
      </c>
      <c r="B28" s="55" t="str">
        <f>VLOOKUP(horas_estimada[[#This Row],[ID]],catalogo[],2,FALSE)</f>
        <v>Dados em SGBD</v>
      </c>
      <c r="C28" s="56" t="str">
        <f>VLOOKUP(horas_estimada[[#This Row],[ID]],catalogo[],3,FALSE)</f>
        <v>Apoiar na resolução de questão técnica  relacionada direta ou indiretamente ao ambiente tecnológico de gestão de informações digitais, de baixa complexidade
O problema a ser solucionado deverá ser compatível com o perfil técnico de um DBA Junior;</v>
      </c>
      <c r="D28" s="60" t="s">
        <v>160</v>
      </c>
      <c r="E28" s="54">
        <v>2</v>
      </c>
      <c r="F28" s="52"/>
    </row>
    <row r="29" spans="1:6" ht="64.5" thickBot="1" x14ac:dyDescent="0.25">
      <c r="A29" s="85" t="s">
        <v>48</v>
      </c>
      <c r="B29" s="86" t="str">
        <f>VLOOKUP(horas_estimada[[#This Row],[ID]],catalogo[],2,FALSE)</f>
        <v>Dados em SGBD</v>
      </c>
      <c r="C29" s="87" t="str">
        <f>VLOOKUP(horas_estimada[[#This Row],[ID]],catalogo[],3,FALSE)</f>
        <v>Apoiar na resolução de questão técnica  relacionada direta ou indiretamente ao ambiente tecnológico de gestão de informações digitais, de baixa complexidade
O problema a ser solucionado deverá ser compatível com o perfil técnico de um DBA Junior;</v>
      </c>
      <c r="D29" s="88" t="s">
        <v>161</v>
      </c>
      <c r="E29" s="92">
        <v>1</v>
      </c>
      <c r="F29" s="53"/>
    </row>
    <row r="30" spans="1:6" ht="63.75" x14ac:dyDescent="0.2">
      <c r="A30" s="61" t="s">
        <v>52</v>
      </c>
      <c r="B30" s="62" t="str">
        <f>VLOOKUP(horas_estimada[[#This Row],[ID]],catalogo[],2,FALSE)</f>
        <v>Dados em SGBD</v>
      </c>
      <c r="C30" s="63" t="str">
        <f>VLOOKUP(horas_estimada[[#This Row],[ID]],catalogo[],3,FALSE)</f>
        <v>Apoiar na resolução de questão técnica  relacionada  direta ou indiretamente ao ambiente tecnológico de gestão de informações digitais, de média complexidade
O problema a ser solucionado deverá ser compatível com o perfil técnico de um DBA Pleno;</v>
      </c>
      <c r="D30" s="64" t="s">
        <v>158</v>
      </c>
      <c r="E30" s="65">
        <v>1</v>
      </c>
      <c r="F30" s="66"/>
    </row>
    <row r="31" spans="1:6" ht="63.75" x14ac:dyDescent="0.2">
      <c r="A31" s="67" t="s">
        <v>52</v>
      </c>
      <c r="B31" s="68" t="str">
        <f>VLOOKUP(horas_estimada[[#This Row],[ID]],catalogo[],2,FALSE)</f>
        <v>Dados em SGBD</v>
      </c>
      <c r="C31" s="69" t="str">
        <f>VLOOKUP(horas_estimada[[#This Row],[ID]],catalogo[],3,FALSE)</f>
        <v>Apoiar na resolução de questão técnica  relacionada  direta ou indiretamente ao ambiente tecnológico de gestão de informações digitais, de média complexidade
O problema a ser solucionado deverá ser compatível com o perfil técnico de um DBA Pleno;</v>
      </c>
      <c r="D31" s="70" t="s">
        <v>159</v>
      </c>
      <c r="E31" s="71">
        <v>4</v>
      </c>
      <c r="F31" s="72"/>
    </row>
    <row r="32" spans="1:6" ht="63.75" x14ac:dyDescent="0.2">
      <c r="A32" s="67" t="s">
        <v>52</v>
      </c>
      <c r="B32" s="68" t="str">
        <f>VLOOKUP(horas_estimada[[#This Row],[ID]],catalogo[],2,FALSE)</f>
        <v>Dados em SGBD</v>
      </c>
      <c r="C32" s="69" t="str">
        <f>VLOOKUP(horas_estimada[[#This Row],[ID]],catalogo[],3,FALSE)</f>
        <v>Apoiar na resolução de questão técnica  relacionada  direta ou indiretamente ao ambiente tecnológico de gestão de informações digitais, de média complexidade
O problema a ser solucionado deverá ser compatível com o perfil técnico de um DBA Pleno;</v>
      </c>
      <c r="D32" s="70" t="s">
        <v>160</v>
      </c>
      <c r="E32" s="71">
        <v>2</v>
      </c>
      <c r="F32" s="72"/>
    </row>
    <row r="33" spans="1:7" ht="64.5" thickBot="1" x14ac:dyDescent="0.25">
      <c r="A33" s="73" t="s">
        <v>52</v>
      </c>
      <c r="B33" s="74" t="str">
        <f>VLOOKUP(horas_estimada[[#This Row],[ID]],catalogo[],2,FALSE)</f>
        <v>Dados em SGBD</v>
      </c>
      <c r="C33" s="75" t="str">
        <f>VLOOKUP(horas_estimada[[#This Row],[ID]],catalogo[],3,FALSE)</f>
        <v>Apoiar na resolução de questão técnica  relacionada  direta ou indiretamente ao ambiente tecnológico de gestão de informações digitais, de média complexidade
O problema a ser solucionado deverá ser compatível com o perfil técnico de um DBA Pleno;</v>
      </c>
      <c r="D33" s="76" t="s">
        <v>161</v>
      </c>
      <c r="E33" s="91">
        <v>0.5</v>
      </c>
      <c r="F33" s="78"/>
    </row>
    <row r="34" spans="1:7" ht="25.5" x14ac:dyDescent="0.2">
      <c r="A34" s="79" t="s">
        <v>56</v>
      </c>
      <c r="B34" s="80" t="str">
        <f>VLOOKUP(horas_estimada[[#This Row],[ID]],catalogo[],2,FALSE)</f>
        <v>Dados em SGBD</v>
      </c>
      <c r="C34" s="81" t="str">
        <f>VLOOKUP(horas_estimada[[#This Row],[ID]],catalogo[],3,FALSE)</f>
        <v>Elaborar script de banco de dados com a existência de modelo ou documentação suficiente</v>
      </c>
      <c r="D34" s="82" t="s">
        <v>150</v>
      </c>
      <c r="E34" s="83">
        <v>0.75</v>
      </c>
      <c r="F34" s="51"/>
    </row>
    <row r="35" spans="1:7" ht="25.5" x14ac:dyDescent="0.2">
      <c r="A35" s="84" t="s">
        <v>56</v>
      </c>
      <c r="B35" s="55" t="str">
        <f>VLOOKUP(horas_estimada[[#This Row],[ID]],catalogo[],2,FALSE)</f>
        <v>Dados em SGBD</v>
      </c>
      <c r="C35" s="56" t="str">
        <f>VLOOKUP(horas_estimada[[#This Row],[ID]],catalogo[],3,FALSE)</f>
        <v>Elaborar script de banco de dados com a existência de modelo ou documentação suficiente</v>
      </c>
      <c r="D35" s="60" t="s">
        <v>162</v>
      </c>
      <c r="E35" s="54">
        <v>2.5</v>
      </c>
      <c r="F35" s="52">
        <v>1</v>
      </c>
    </row>
    <row r="36" spans="1:7" ht="25.5" x14ac:dyDescent="0.2">
      <c r="A36" s="84" t="s">
        <v>56</v>
      </c>
      <c r="B36" s="55" t="str">
        <f>VLOOKUP(horas_estimada[[#This Row],[ID]],catalogo[],2,FALSE)</f>
        <v>Dados em SGBD</v>
      </c>
      <c r="C36" s="56" t="str">
        <f>VLOOKUP(horas_estimada[[#This Row],[ID]],catalogo[],3,FALSE)</f>
        <v>Elaborar script de banco de dados com a existência de modelo ou documentação suficiente</v>
      </c>
      <c r="D36" s="60" t="s">
        <v>163</v>
      </c>
      <c r="E36" s="54">
        <v>1</v>
      </c>
      <c r="F36" s="52"/>
    </row>
    <row r="37" spans="1:7" ht="25.5" x14ac:dyDescent="0.2">
      <c r="A37" s="84" t="s">
        <v>56</v>
      </c>
      <c r="B37" s="55" t="str">
        <f>VLOOKUP(horas_estimada[[#This Row],[ID]],catalogo[],2,FALSE)</f>
        <v>Dados em SGBD</v>
      </c>
      <c r="C37" s="56" t="str">
        <f>VLOOKUP(horas_estimada[[#This Row],[ID]],catalogo[],3,FALSE)</f>
        <v>Elaborar script de banco de dados com a existência de modelo ou documentação suficiente</v>
      </c>
      <c r="D37" s="60" t="s">
        <v>153</v>
      </c>
      <c r="E37" s="54">
        <v>0.5</v>
      </c>
      <c r="F37" s="52"/>
    </row>
    <row r="38" spans="1:7" ht="26.25" thickBot="1" x14ac:dyDescent="0.25">
      <c r="A38" s="85" t="s">
        <v>56</v>
      </c>
      <c r="B38" s="86" t="str">
        <f>VLOOKUP(horas_estimada[[#This Row],[ID]],catalogo[],2,FALSE)</f>
        <v>Dados em SGBD</v>
      </c>
      <c r="C38" s="87" t="str">
        <f>VLOOKUP(horas_estimada[[#This Row],[ID]],catalogo[],3,FALSE)</f>
        <v>Elaborar script de banco de dados com a existência de modelo ou documentação suficiente</v>
      </c>
      <c r="D38" s="88" t="s">
        <v>164</v>
      </c>
      <c r="E38" s="92">
        <v>0.25</v>
      </c>
      <c r="F38" s="53"/>
    </row>
    <row r="39" spans="1:7" x14ac:dyDescent="0.2">
      <c r="A39" s="61" t="s">
        <v>62</v>
      </c>
      <c r="B39" s="62" t="str">
        <f>VLOOKUP(horas_estimada[[#This Row],[ID]],catalogo[],2,FALSE)</f>
        <v>Dados em SGBD</v>
      </c>
      <c r="C39" s="63" t="str">
        <f>VLOOKUP(horas_estimada[[#This Row],[ID]],catalogo[],3,FALSE)</f>
        <v>Elaborar script de banco de dados sem documentação suficiente</v>
      </c>
      <c r="D39" s="64" t="s">
        <v>149</v>
      </c>
      <c r="E39" s="65">
        <v>1</v>
      </c>
      <c r="F39" s="66"/>
    </row>
    <row r="40" spans="1:7" x14ac:dyDescent="0.2">
      <c r="A40" s="67" t="s">
        <v>62</v>
      </c>
      <c r="B40" s="68" t="str">
        <f>VLOOKUP(horas_estimada[[#This Row],[ID]],catalogo[],2,FALSE)</f>
        <v>Dados em SGBD</v>
      </c>
      <c r="C40" s="69" t="str">
        <f>VLOOKUP(horas_estimada[[#This Row],[ID]],catalogo[],3,FALSE)</f>
        <v>Elaborar script de banco de dados sem documentação suficiente</v>
      </c>
      <c r="D40" s="70" t="s">
        <v>150</v>
      </c>
      <c r="E40" s="71">
        <v>4</v>
      </c>
      <c r="F40" s="72"/>
    </row>
    <row r="41" spans="1:7" x14ac:dyDescent="0.2">
      <c r="A41" s="67" t="s">
        <v>62</v>
      </c>
      <c r="B41" s="68" t="str">
        <f>VLOOKUP(horas_estimada[[#This Row],[ID]],catalogo[],2,FALSE)</f>
        <v>Dados em SGBD</v>
      </c>
      <c r="C41" s="69" t="str">
        <f>VLOOKUP(horas_estimada[[#This Row],[ID]],catalogo[],3,FALSE)</f>
        <v>Elaborar script de banco de dados sem documentação suficiente</v>
      </c>
      <c r="D41" s="70" t="s">
        <v>162</v>
      </c>
      <c r="E41" s="71">
        <v>2.5</v>
      </c>
      <c r="F41" s="72">
        <v>1</v>
      </c>
    </row>
    <row r="42" spans="1:7" x14ac:dyDescent="0.2">
      <c r="A42" s="67" t="s">
        <v>62</v>
      </c>
      <c r="B42" s="68" t="str">
        <f>VLOOKUP(horas_estimada[[#This Row],[ID]],catalogo[],2,FALSE)</f>
        <v>Dados em SGBD</v>
      </c>
      <c r="C42" s="69" t="str">
        <f>VLOOKUP(horas_estimada[[#This Row],[ID]],catalogo[],3,FALSE)</f>
        <v>Elaborar script de banco de dados sem documentação suficiente</v>
      </c>
      <c r="D42" s="70" t="s">
        <v>163</v>
      </c>
      <c r="E42" s="71">
        <v>1</v>
      </c>
      <c r="F42" s="72"/>
    </row>
    <row r="43" spans="1:7" ht="25.5" x14ac:dyDescent="0.2">
      <c r="A43" s="67" t="s">
        <v>62</v>
      </c>
      <c r="B43" s="68" t="str">
        <f>VLOOKUP(horas_estimada[[#This Row],[ID]],catalogo[],2,FALSE)</f>
        <v>Dados em SGBD</v>
      </c>
      <c r="C43" s="69" t="str">
        <f>VLOOKUP(horas_estimada[[#This Row],[ID]],catalogo[],3,FALSE)</f>
        <v>Elaborar script de banco de dados sem documentação suficiente</v>
      </c>
      <c r="D43" s="70" t="s">
        <v>153</v>
      </c>
      <c r="E43" s="71">
        <v>0.5</v>
      </c>
      <c r="F43" s="72"/>
    </row>
    <row r="44" spans="1:7" ht="13.5" thickBot="1" x14ac:dyDescent="0.25">
      <c r="A44" s="73" t="s">
        <v>62</v>
      </c>
      <c r="B44" s="74" t="str">
        <f>VLOOKUP(horas_estimada[[#This Row],[ID]],catalogo[],2,FALSE)</f>
        <v>Dados em SGBD</v>
      </c>
      <c r="C44" s="75" t="str">
        <f>VLOOKUP(horas_estimada[[#This Row],[ID]],catalogo[],3,FALSE)</f>
        <v>Elaborar script de banco de dados sem documentação suficiente</v>
      </c>
      <c r="D44" s="76" t="s">
        <v>165</v>
      </c>
      <c r="E44" s="91">
        <v>0.25</v>
      </c>
      <c r="F44" s="78"/>
    </row>
    <row r="45" spans="1:7" ht="51" x14ac:dyDescent="0.2">
      <c r="A45" s="93" t="s">
        <v>66</v>
      </c>
      <c r="B45" s="80" t="str">
        <f>VLOOKUP(horas_estimada[[#This Row],[ID]],catalogo[],2,FALSE)</f>
        <v>Dados em SGBD</v>
      </c>
      <c r="C45" s="81" t="str">
        <f>VLOOKUP(horas_estimada[[#This Row],[ID]],catalogo[],3,FALSE)</f>
        <v>Levantamento de Necessidades de Negócio ou necessidade técnica vinculada a Governança de dados, de alta complexidade
O problema a ser solucionado deverá ser compatível com o perfil técnico de um DBA Senior;</v>
      </c>
      <c r="D45" s="82" t="s">
        <v>158</v>
      </c>
      <c r="E45" s="83">
        <v>1</v>
      </c>
      <c r="F45" s="51"/>
    </row>
    <row r="46" spans="1:7" ht="51" x14ac:dyDescent="0.2">
      <c r="A46" s="94" t="s">
        <v>66</v>
      </c>
      <c r="B46" s="55" t="str">
        <f>VLOOKUP(horas_estimada[[#This Row],[ID]],catalogo[],2,FALSE)</f>
        <v>Dados em SGBD</v>
      </c>
      <c r="C46" s="56" t="str">
        <f>VLOOKUP(horas_estimada[[#This Row],[ID]],catalogo[],3,FALSE)</f>
        <v>Levantamento de Necessidades de Negócio ou necessidade técnica vinculada a Governança de dados, de alta complexidade
O problema a ser solucionado deverá ser compatível com o perfil técnico de um DBA Senior;</v>
      </c>
      <c r="D46" s="60" t="s">
        <v>166</v>
      </c>
      <c r="E46" s="54">
        <v>4</v>
      </c>
      <c r="F46" s="52"/>
    </row>
    <row r="47" spans="1:7" s="42" customFormat="1" ht="51" x14ac:dyDescent="0.2">
      <c r="A47" s="94" t="s">
        <v>66</v>
      </c>
      <c r="B47" s="55" t="str">
        <f>VLOOKUP(horas_estimada[[#This Row],[ID]],catalogo[],2,FALSE)</f>
        <v>Dados em SGBD</v>
      </c>
      <c r="C47" s="56" t="str">
        <f>VLOOKUP(horas_estimada[[#This Row],[ID]],catalogo[],3,FALSE)</f>
        <v>Levantamento de Necessidades de Negócio ou necessidade técnica vinculada a Governança de dados, de alta complexidade
O problema a ser solucionado deverá ser compatível com o perfil técnico de um DBA Senior;</v>
      </c>
      <c r="D47" s="59" t="s">
        <v>167</v>
      </c>
      <c r="E47" s="90">
        <v>2</v>
      </c>
      <c r="F47" s="52"/>
      <c r="G47" s="41"/>
    </row>
    <row r="48" spans="1:7" ht="51" x14ac:dyDescent="0.2">
      <c r="A48" s="94" t="s">
        <v>66</v>
      </c>
      <c r="B48" s="55" t="str">
        <f>VLOOKUP(horas_estimada[[#This Row],[ID]],catalogo[],2,FALSE)</f>
        <v>Dados em SGBD</v>
      </c>
      <c r="C48" s="56" t="str">
        <f>VLOOKUP(horas_estimada[[#This Row],[ID]],catalogo[],3,FALSE)</f>
        <v>Levantamento de Necessidades de Negócio ou necessidade técnica vinculada a Governança de dados, de alta complexidade
O problema a ser solucionado deverá ser compatível com o perfil técnico de um DBA Senior;</v>
      </c>
      <c r="D48" s="60" t="s">
        <v>168</v>
      </c>
      <c r="E48" s="54">
        <v>1</v>
      </c>
      <c r="F48" s="52"/>
    </row>
    <row r="49" spans="1:6" ht="51.75" thickBot="1" x14ac:dyDescent="0.25">
      <c r="A49" s="95" t="s">
        <v>66</v>
      </c>
      <c r="B49" s="86" t="str">
        <f>VLOOKUP(horas_estimada[[#This Row],[ID]],catalogo[],2,FALSE)</f>
        <v>Dados em SGBD</v>
      </c>
      <c r="C49" s="87" t="str">
        <f>VLOOKUP(horas_estimada[[#This Row],[ID]],catalogo[],3,FALSE)</f>
        <v>Levantamento de Necessidades de Negócio ou necessidade técnica vinculada a Governança de dados, de alta complexidade
O problema a ser solucionado deverá ser compatível com o perfil técnico de um DBA Senior;</v>
      </c>
      <c r="D49" s="88" t="s">
        <v>169</v>
      </c>
      <c r="E49" s="92">
        <v>1</v>
      </c>
      <c r="F49" s="53"/>
    </row>
    <row r="50" spans="1:6" ht="51" x14ac:dyDescent="0.2">
      <c r="A50" s="61" t="s">
        <v>71</v>
      </c>
      <c r="B50" s="62" t="str">
        <f>VLOOKUP(horas_estimada[[#This Row],[ID]],catalogo[],2,FALSE)</f>
        <v>Dados em SGBD</v>
      </c>
      <c r="C50" s="63" t="str">
        <f>VLOOKUP(horas_estimada[[#This Row],[ID]],catalogo[],3,FALSE)</f>
        <v>Levantamento de Necessidades de Negócio ou necessidade técnica vinculada a Governança de dados, de média complexidade
O problema a ser solucionado deverá ser compatível com o perfil técnico de um DBA Pleno;</v>
      </c>
      <c r="D50" s="64" t="s">
        <v>158</v>
      </c>
      <c r="E50" s="65">
        <v>1</v>
      </c>
      <c r="F50" s="66"/>
    </row>
    <row r="51" spans="1:6" ht="51" x14ac:dyDescent="0.2">
      <c r="A51" s="67" t="s">
        <v>71</v>
      </c>
      <c r="B51" s="68" t="str">
        <f>VLOOKUP(horas_estimada[[#This Row],[ID]],catalogo[],2,FALSE)</f>
        <v>Dados em SGBD</v>
      </c>
      <c r="C51" s="69" t="str">
        <f>VLOOKUP(horas_estimada[[#This Row],[ID]],catalogo[],3,FALSE)</f>
        <v>Levantamento de Necessidades de Negócio ou necessidade técnica vinculada a Governança de dados, de média complexidade
O problema a ser solucionado deverá ser compatível com o perfil técnico de um DBA Pleno;</v>
      </c>
      <c r="D51" s="70" t="s">
        <v>166</v>
      </c>
      <c r="E51" s="71">
        <v>4</v>
      </c>
      <c r="F51" s="72"/>
    </row>
    <row r="52" spans="1:6" ht="51" x14ac:dyDescent="0.2">
      <c r="A52" s="67" t="s">
        <v>71</v>
      </c>
      <c r="B52" s="68" t="str">
        <f>VLOOKUP(horas_estimada[[#This Row],[ID]],catalogo[],2,FALSE)</f>
        <v>Dados em SGBD</v>
      </c>
      <c r="C52" s="69" t="str">
        <f>VLOOKUP(horas_estimada[[#This Row],[ID]],catalogo[],3,FALSE)</f>
        <v>Levantamento de Necessidades de Negócio ou necessidade técnica vinculada a Governança de dados, de média complexidade
O problema a ser solucionado deverá ser compatível com o perfil técnico de um DBA Pleno;</v>
      </c>
      <c r="D52" s="96" t="s">
        <v>170</v>
      </c>
      <c r="E52" s="97">
        <v>2</v>
      </c>
      <c r="F52" s="72"/>
    </row>
    <row r="53" spans="1:6" ht="51" x14ac:dyDescent="0.2">
      <c r="A53" s="67" t="s">
        <v>71</v>
      </c>
      <c r="B53" s="68" t="str">
        <f>VLOOKUP(horas_estimada[[#This Row],[ID]],catalogo[],2,FALSE)</f>
        <v>Dados em SGBD</v>
      </c>
      <c r="C53" s="69" t="str">
        <f>VLOOKUP(horas_estimada[[#This Row],[ID]],catalogo[],3,FALSE)</f>
        <v>Levantamento de Necessidades de Negócio ou necessidade técnica vinculada a Governança de dados, de média complexidade
O problema a ser solucionado deverá ser compatível com o perfil técnico de um DBA Pleno;</v>
      </c>
      <c r="D53" s="70" t="s">
        <v>168</v>
      </c>
      <c r="E53" s="71">
        <v>1</v>
      </c>
      <c r="F53" s="72"/>
    </row>
    <row r="54" spans="1:6" ht="51.75" thickBot="1" x14ac:dyDescent="0.25">
      <c r="A54" s="73" t="s">
        <v>71</v>
      </c>
      <c r="B54" s="74" t="str">
        <f>VLOOKUP(horas_estimada[[#This Row],[ID]],catalogo[],2,FALSE)</f>
        <v>Dados em SGBD</v>
      </c>
      <c r="C54" s="75" t="str">
        <f>VLOOKUP(horas_estimada[[#This Row],[ID]],catalogo[],3,FALSE)</f>
        <v>Levantamento de Necessidades de Negócio ou necessidade técnica vinculada a Governança de dados, de média complexidade
O problema a ser solucionado deverá ser compatível com o perfil técnico de um DBA Pleno;</v>
      </c>
      <c r="D54" s="76" t="s">
        <v>169</v>
      </c>
      <c r="E54" s="91">
        <v>1</v>
      </c>
      <c r="F54" s="78"/>
    </row>
    <row r="55" spans="1:6" ht="51" x14ac:dyDescent="0.2">
      <c r="A55" s="79" t="s">
        <v>75</v>
      </c>
      <c r="B55" s="80" t="str">
        <f>VLOOKUP(horas_estimada[[#This Row],[ID]],catalogo[],2,FALSE)</f>
        <v>Dados em SGBD</v>
      </c>
      <c r="C55" s="81" t="str">
        <f>VLOOKUP(horas_estimada[[#This Row],[ID]],catalogo[],3,FALSE)</f>
        <v>Levantamento de Necessidades de Negócio ou necessidade técnica vinculada a Governança de dados, de baixa complexidade
O problema a ser solucionado deverá ser compatível com o perfil técnico de um DBA Junior;</v>
      </c>
      <c r="D55" s="82" t="s">
        <v>158</v>
      </c>
      <c r="E55" s="83">
        <v>1</v>
      </c>
      <c r="F55" s="51"/>
    </row>
    <row r="56" spans="1:6" ht="51" x14ac:dyDescent="0.2">
      <c r="A56" s="84" t="s">
        <v>75</v>
      </c>
      <c r="B56" s="55" t="str">
        <f>VLOOKUP(horas_estimada[[#This Row],[ID]],catalogo[],2,FALSE)</f>
        <v>Dados em SGBD</v>
      </c>
      <c r="C56" s="56" t="str">
        <f>VLOOKUP(horas_estimada[[#This Row],[ID]],catalogo[],3,FALSE)</f>
        <v>Levantamento de Necessidades de Negócio ou necessidade técnica vinculada a Governança de dados, de baixa complexidade
O problema a ser solucionado deverá ser compatível com o perfil técnico de um DBA Junior;</v>
      </c>
      <c r="D56" s="60" t="s">
        <v>166</v>
      </c>
      <c r="E56" s="54">
        <v>4</v>
      </c>
      <c r="F56" s="52"/>
    </row>
    <row r="57" spans="1:6" ht="51" x14ac:dyDescent="0.2">
      <c r="A57" s="84" t="s">
        <v>75</v>
      </c>
      <c r="B57" s="55" t="str">
        <f>VLOOKUP(horas_estimada[[#This Row],[ID]],catalogo[],2,FALSE)</f>
        <v>Dados em SGBD</v>
      </c>
      <c r="C57" s="56" t="str">
        <f>VLOOKUP(horas_estimada[[#This Row],[ID]],catalogo[],3,FALSE)</f>
        <v>Levantamento de Necessidades de Negócio ou necessidade técnica vinculada a Governança de dados, de baixa complexidade
O problema a ser solucionado deverá ser compatível com o perfil técnico de um DBA Junior;</v>
      </c>
      <c r="D57" s="59" t="s">
        <v>170</v>
      </c>
      <c r="E57" s="90">
        <v>2</v>
      </c>
      <c r="F57" s="52"/>
    </row>
    <row r="58" spans="1:6" ht="51" x14ac:dyDescent="0.2">
      <c r="A58" s="84" t="s">
        <v>75</v>
      </c>
      <c r="B58" s="55" t="str">
        <f>VLOOKUP(horas_estimada[[#This Row],[ID]],catalogo[],2,FALSE)</f>
        <v>Dados em SGBD</v>
      </c>
      <c r="C58" s="56" t="str">
        <f>VLOOKUP(horas_estimada[[#This Row],[ID]],catalogo[],3,FALSE)</f>
        <v>Levantamento de Necessidades de Negócio ou necessidade técnica vinculada a Governança de dados, de baixa complexidade
O problema a ser solucionado deverá ser compatível com o perfil técnico de um DBA Junior;</v>
      </c>
      <c r="D58" s="60" t="s">
        <v>168</v>
      </c>
      <c r="E58" s="54">
        <v>1</v>
      </c>
      <c r="F58" s="52"/>
    </row>
    <row r="59" spans="1:6" ht="51.75" thickBot="1" x14ac:dyDescent="0.25">
      <c r="A59" s="85" t="s">
        <v>75</v>
      </c>
      <c r="B59" s="86" t="str">
        <f>VLOOKUP(horas_estimada[[#This Row],[ID]],catalogo[],2,FALSE)</f>
        <v>Dados em SGBD</v>
      </c>
      <c r="C59" s="87" t="str">
        <f>VLOOKUP(horas_estimada[[#This Row],[ID]],catalogo[],3,FALSE)</f>
        <v>Levantamento de Necessidades de Negócio ou necessidade técnica vinculada a Governança de dados, de baixa complexidade
O problema a ser solucionado deverá ser compatível com o perfil técnico de um DBA Junior;</v>
      </c>
      <c r="D59" s="88" t="s">
        <v>169</v>
      </c>
      <c r="E59" s="92">
        <v>1</v>
      </c>
      <c r="F59" s="53"/>
    </row>
    <row r="60" spans="1:6" ht="25.5" x14ac:dyDescent="0.2">
      <c r="A60" s="61" t="s">
        <v>79</v>
      </c>
      <c r="B60" s="62" t="str">
        <f>VLOOKUP(horas_estimada[[#This Row],[ID]],catalogo[],2,FALSE)</f>
        <v>Dados em SGBD</v>
      </c>
      <c r="C60" s="63" t="str">
        <f>VLOOKUP(horas_estimada[[#This Row],[ID]],catalogo[],3,FALSE)</f>
        <v>Realizar inspeção de governança de dados de produto de acordo com o Documento de Diretrizes de Inspeção - baixa complexidade</v>
      </c>
      <c r="D60" s="64" t="s">
        <v>171</v>
      </c>
      <c r="E60" s="65">
        <v>4</v>
      </c>
      <c r="F60" s="66"/>
    </row>
    <row r="61" spans="1:6" ht="26.25" thickBot="1" x14ac:dyDescent="0.25">
      <c r="A61" s="73" t="s">
        <v>79</v>
      </c>
      <c r="B61" s="74" t="str">
        <f>VLOOKUP(horas_estimada[[#This Row],[ID]],catalogo[],2,FALSE)</f>
        <v>Dados em SGBD</v>
      </c>
      <c r="C61" s="75" t="str">
        <f>VLOOKUP(horas_estimada[[#This Row],[ID]],catalogo[],3,FALSE)</f>
        <v>Realizar inspeção de governança de dados de produto de acordo com o Documento de Diretrizes de Inspeção - baixa complexidade</v>
      </c>
      <c r="D61" s="76" t="s">
        <v>172</v>
      </c>
      <c r="E61" s="91">
        <v>0.5</v>
      </c>
      <c r="F61" s="78"/>
    </row>
    <row r="62" spans="1:6" ht="25.5" x14ac:dyDescent="0.2">
      <c r="A62" s="79" t="s">
        <v>85</v>
      </c>
      <c r="B62" s="80" t="str">
        <f>VLOOKUP(horas_estimada[[#This Row],[ID]],catalogo[],2,FALSE)</f>
        <v>Dados em SGBD</v>
      </c>
      <c r="C62" s="81" t="str">
        <f>VLOOKUP(horas_estimada[[#This Row],[ID]],catalogo[],3,FALSE)</f>
        <v>Realizar inspeção de governança de dados de produto de acordo com o Documento de Diretrizes de Inspeção - alta complexidade</v>
      </c>
      <c r="D62" s="82" t="s">
        <v>173</v>
      </c>
      <c r="E62" s="98">
        <v>7</v>
      </c>
      <c r="F62" s="51"/>
    </row>
    <row r="63" spans="1:6" ht="26.25" thickBot="1" x14ac:dyDescent="0.25">
      <c r="A63" s="85" t="s">
        <v>85</v>
      </c>
      <c r="B63" s="86" t="str">
        <f>VLOOKUP(horas_estimada[[#This Row],[ID]],catalogo[],2,FALSE)</f>
        <v>Dados em SGBD</v>
      </c>
      <c r="C63" s="87" t="str">
        <f>VLOOKUP(horas_estimada[[#This Row],[ID]],catalogo[],3,FALSE)</f>
        <v>Realizar inspeção de governança de dados de produto de acordo com o Documento de Diretrizes de Inspeção - alta complexidade</v>
      </c>
      <c r="D63" s="88" t="s">
        <v>172</v>
      </c>
      <c r="E63" s="89">
        <v>0.5</v>
      </c>
      <c r="F63" s="53"/>
    </row>
    <row r="64" spans="1:6" ht="25.5" x14ac:dyDescent="0.2">
      <c r="A64" s="61" t="s">
        <v>88</v>
      </c>
      <c r="B64" s="62" t="str">
        <f>VLOOKUP(horas_estimada[[#This Row],[ID]],catalogo[],2,FALSE)</f>
        <v>Dados em SGBD</v>
      </c>
      <c r="C64" s="63" t="str">
        <f>VLOOKUP(horas_estimada[[#This Row],[ID]],catalogo[],3,FALSE)</f>
        <v>Construir análise de qualidade de dados (adicionar ao total de horas das atividades fixas 0,5 horas por tabela a ser analisada)</v>
      </c>
      <c r="D64" s="64" t="s">
        <v>174</v>
      </c>
      <c r="E64" s="65">
        <v>2</v>
      </c>
      <c r="F64" s="66"/>
    </row>
    <row r="65" spans="1:6" ht="25.5" x14ac:dyDescent="0.2">
      <c r="A65" s="67" t="s">
        <v>88</v>
      </c>
      <c r="B65" s="68" t="str">
        <f>VLOOKUP(horas_estimada[[#This Row],[ID]],catalogo[],2,FALSE)</f>
        <v>Dados em SGBD</v>
      </c>
      <c r="C65" s="69" t="str">
        <f>VLOOKUP(horas_estimada[[#This Row],[ID]],catalogo[],3,FALSE)</f>
        <v>Construir análise de qualidade de dados (adicionar ao total de horas das atividades fixas 0,5 horas por tabela a ser analisada)</v>
      </c>
      <c r="D65" s="70" t="s">
        <v>175</v>
      </c>
      <c r="E65" s="71">
        <v>1</v>
      </c>
      <c r="F65" s="72"/>
    </row>
    <row r="66" spans="1:6" ht="38.25" x14ac:dyDescent="0.2">
      <c r="A66" s="67" t="s">
        <v>88</v>
      </c>
      <c r="B66" s="68" t="str">
        <f>VLOOKUP(horas_estimada[[#This Row],[ID]],catalogo[],2,FALSE)</f>
        <v>Dados em SGBD</v>
      </c>
      <c r="C66" s="69" t="str">
        <f>VLOOKUP(horas_estimada[[#This Row],[ID]],catalogo[],3,FALSE)</f>
        <v>Construir análise de qualidade de dados (adicionar ao total de horas das atividades fixas 0,5 horas por tabela a ser analisada)</v>
      </c>
      <c r="D66" s="70" t="s">
        <v>176</v>
      </c>
      <c r="E66" s="71">
        <f>F66*0.5</f>
        <v>10</v>
      </c>
      <c r="F66" s="72">
        <v>20</v>
      </c>
    </row>
    <row r="67" spans="1:6" ht="26.25" thickBot="1" x14ac:dyDescent="0.25">
      <c r="A67" s="73" t="s">
        <v>88</v>
      </c>
      <c r="B67" s="74" t="str">
        <f>VLOOKUP(horas_estimada[[#This Row],[ID]],catalogo[],2,FALSE)</f>
        <v>Dados em SGBD</v>
      </c>
      <c r="C67" s="75" t="str">
        <f>VLOOKUP(horas_estimada[[#This Row],[ID]],catalogo[],3,FALSE)</f>
        <v>Construir análise de qualidade de dados (adicionar ao total de horas das atividades fixas 0,5 horas por tabela a ser analisada)</v>
      </c>
      <c r="D67" s="76" t="s">
        <v>163</v>
      </c>
      <c r="E67" s="91">
        <v>1</v>
      </c>
      <c r="F67" s="78"/>
    </row>
    <row r="68" spans="1:6" ht="25.5" x14ac:dyDescent="0.2">
      <c r="A68" s="79" t="s">
        <v>94</v>
      </c>
      <c r="B68" s="80" t="str">
        <f>VLOOKUP(horas_estimada[[#This Row],[ID]],catalogo[],2,FALSE)</f>
        <v>Dados em SGBD</v>
      </c>
      <c r="C68" s="81" t="str">
        <f>VLOOKUP(horas_estimada[[#This Row],[ID]],catalogo[],3,FALSE)</f>
        <v>Construir rotina de qualidade de dados  (adicionar ao total de horas das atividades fixas 1,0 hora por tabela tratada)</v>
      </c>
      <c r="D68" s="82" t="s">
        <v>177</v>
      </c>
      <c r="E68" s="83">
        <v>1</v>
      </c>
      <c r="F68" s="51"/>
    </row>
    <row r="69" spans="1:6" ht="38.25" x14ac:dyDescent="0.2">
      <c r="A69" s="84" t="s">
        <v>94</v>
      </c>
      <c r="B69" s="55" t="str">
        <f>VLOOKUP(horas_estimada[[#This Row],[ID]],catalogo[],2,FALSE)</f>
        <v>Dados em SGBD</v>
      </c>
      <c r="C69" s="56" t="str">
        <f>VLOOKUP(horas_estimada[[#This Row],[ID]],catalogo[],3,FALSE)</f>
        <v>Construir rotina de qualidade de dados  (adicionar ao total de horas das atividades fixas 1,0 hora por tabela tratada)</v>
      </c>
      <c r="D69" s="60" t="s">
        <v>178</v>
      </c>
      <c r="E69" s="54">
        <f>F69*1</f>
        <v>20</v>
      </c>
      <c r="F69" s="52">
        <v>20</v>
      </c>
    </row>
    <row r="70" spans="1:6" ht="25.5" x14ac:dyDescent="0.2">
      <c r="A70" s="84" t="s">
        <v>94</v>
      </c>
      <c r="B70" s="55" t="str">
        <f>VLOOKUP(horas_estimada[[#This Row],[ID]],catalogo[],2,FALSE)</f>
        <v>Dados em SGBD</v>
      </c>
      <c r="C70" s="56" t="str">
        <f>VLOOKUP(horas_estimada[[#This Row],[ID]],catalogo[],3,FALSE)</f>
        <v>Construir rotina de qualidade de dados  (adicionar ao total de horas das atividades fixas 1,0 hora por tabela tratada)</v>
      </c>
      <c r="D70" s="60" t="s">
        <v>179</v>
      </c>
      <c r="E70" s="54">
        <v>0.5</v>
      </c>
      <c r="F70" s="52"/>
    </row>
    <row r="71" spans="1:6" ht="25.5" x14ac:dyDescent="0.2">
      <c r="A71" s="84" t="s">
        <v>94</v>
      </c>
      <c r="B71" s="55" t="str">
        <f>VLOOKUP(horas_estimada[[#This Row],[ID]],catalogo[],2,FALSE)</f>
        <v>Dados em SGBD</v>
      </c>
      <c r="C71" s="56" t="str">
        <f>VLOOKUP(horas_estimada[[#This Row],[ID]],catalogo[],3,FALSE)</f>
        <v>Construir rotina de qualidade de dados  (adicionar ao total de horas das atividades fixas 1,0 hora por tabela tratada)</v>
      </c>
      <c r="D71" s="60" t="s">
        <v>180</v>
      </c>
      <c r="E71" s="54">
        <v>1</v>
      </c>
      <c r="F71" s="52"/>
    </row>
    <row r="72" spans="1:6" ht="38.25" x14ac:dyDescent="0.2">
      <c r="A72" s="84" t="s">
        <v>94</v>
      </c>
      <c r="B72" s="55" t="str">
        <f>VLOOKUP(horas_estimada[[#This Row],[ID]],catalogo[],2,FALSE)</f>
        <v>Dados em SGBD</v>
      </c>
      <c r="C72" s="56" t="str">
        <f>VLOOKUP(horas_estimada[[#This Row],[ID]],catalogo[],3,FALSE)</f>
        <v>Construir rotina de qualidade de dados  (adicionar ao total de horas das atividades fixas 1,0 hora por tabela tratada)</v>
      </c>
      <c r="D72" s="60" t="s">
        <v>181</v>
      </c>
      <c r="E72" s="54">
        <v>0.5</v>
      </c>
      <c r="F72" s="52"/>
    </row>
    <row r="73" spans="1:6" ht="26.25" thickBot="1" x14ac:dyDescent="0.25">
      <c r="A73" s="85" t="s">
        <v>94</v>
      </c>
      <c r="B73" s="86" t="str">
        <f>VLOOKUP(horas_estimada[[#This Row],[ID]],catalogo[],2,FALSE)</f>
        <v>Dados em SGBD</v>
      </c>
      <c r="C73" s="87" t="str">
        <f>VLOOKUP(horas_estimada[[#This Row],[ID]],catalogo[],3,FALSE)</f>
        <v>Construir rotina de qualidade de dados  (adicionar ao total de horas das atividades fixas 1,0 hora por tabela tratada)</v>
      </c>
      <c r="D73" s="88" t="s">
        <v>182</v>
      </c>
      <c r="E73" s="92">
        <v>0.25</v>
      </c>
      <c r="F73" s="53"/>
    </row>
    <row r="74" spans="1:6" ht="63.75" x14ac:dyDescent="0.2">
      <c r="A74" s="61" t="s">
        <v>100</v>
      </c>
      <c r="B74" s="62" t="str">
        <f>VLOOKUP(horas_estimada[[#This Row],[ID]],catalogo[],2,FALSE)</f>
        <v>Dados em SGBD</v>
      </c>
      <c r="C74" s="63" t="str">
        <f>VLOOKUP(horas_estimada[[#This Row],[ID]],catalogo[],3,FALSE)</f>
        <v xml:space="preserve">Construir processo de ETL com necessidade de alinhamento ou refinamento de requisitos  (adicionar ao total de horas das atividades fixas 5,3 horas multiplicado pelo somatório de arquivos ou tabelas de origem e de destino, ou seja, total de horas = qtd de horas fixas + 5,3 * (qtd de arquivos ou tabelas de origem + qtd de arquivos ou tabelas de destino)) </v>
      </c>
      <c r="D74" s="64" t="s">
        <v>183</v>
      </c>
      <c r="E74" s="65">
        <v>1</v>
      </c>
      <c r="F74" s="66"/>
    </row>
    <row r="75" spans="1:6" ht="123" customHeight="1" x14ac:dyDescent="0.2">
      <c r="A75" s="67" t="s">
        <v>100</v>
      </c>
      <c r="B75" s="68" t="str">
        <f>VLOOKUP(horas_estimada[[#This Row],[ID]],catalogo[],2,FALSE)</f>
        <v>Dados em SGBD</v>
      </c>
      <c r="C75" s="69" t="str">
        <f>VLOOKUP(horas_estimada[[#This Row],[ID]],catalogo[],3,FALSE)</f>
        <v xml:space="preserve">Construir processo de ETL com necessidade de alinhamento ou refinamento de requisitos  (adicionar ao total de horas das atividades fixas 5,3 horas multiplicado pelo somatório de arquivos ou tabelas de origem e de destino, ou seja, total de horas = qtd de horas fixas + 5,3 * (qtd de arquivos ou tabelas de origem + qtd de arquivos ou tabelas de destino)) </v>
      </c>
      <c r="D75" s="70" t="s">
        <v>184</v>
      </c>
      <c r="E75" s="71">
        <v>4</v>
      </c>
      <c r="F75" s="72"/>
    </row>
    <row r="76" spans="1:6" ht="114.75" x14ac:dyDescent="0.2">
      <c r="A76" s="67" t="s">
        <v>100</v>
      </c>
      <c r="B76" s="68" t="str">
        <f>VLOOKUP(horas_estimada[[#This Row],[ID]],catalogo[],2,FALSE)</f>
        <v>Dados em SGBD</v>
      </c>
      <c r="C76" s="69" t="str">
        <f>VLOOKUP(horas_estimada[[#This Row],[ID]],catalogo[],3,FALSE)</f>
        <v xml:space="preserve">Construir processo de ETL com necessidade de alinhamento ou refinamento de requisitos  (adicionar ao total de horas das atividades fixas 5,3 horas multiplicado pelo somatório de arquivos ou tabelas de origem e de destino, ou seja, total de horas = qtd de horas fixas + 5,3 * (qtd de arquivos ou tabelas de origem + qtd de arquivos ou tabelas de destino)) </v>
      </c>
      <c r="D76" s="70" t="s">
        <v>185</v>
      </c>
      <c r="E76" s="71">
        <f>(5.3*horas_estimada[[#This Row],[Média para estimativa do catálogo (casos onde existe o fator variável)]])</f>
        <v>31.799999999999997</v>
      </c>
      <c r="F76" s="72">
        <v>6</v>
      </c>
    </row>
    <row r="77" spans="1:6" ht="63.75" x14ac:dyDescent="0.2">
      <c r="A77" s="67" t="s">
        <v>100</v>
      </c>
      <c r="B77" s="68" t="str">
        <f>VLOOKUP(horas_estimada[[#This Row],[ID]],catalogo[],2,FALSE)</f>
        <v>Dados em SGBD</v>
      </c>
      <c r="C77" s="69" t="str">
        <f>VLOOKUP(horas_estimada[[#This Row],[ID]],catalogo[],3,FALSE)</f>
        <v xml:space="preserve">Construir processo de ETL com necessidade de alinhamento ou refinamento de requisitos  (adicionar ao total de horas das atividades fixas 5,3 horas multiplicado pelo somatório de arquivos ou tabelas de origem e de destino, ou seja, total de horas = qtd de horas fixas + 5,3 * (qtd de arquivos ou tabelas de origem + qtd de arquivos ou tabelas de destino)) </v>
      </c>
      <c r="D77" s="70" t="s">
        <v>186</v>
      </c>
      <c r="E77" s="97">
        <v>1</v>
      </c>
      <c r="F77" s="72"/>
    </row>
    <row r="78" spans="1:6" ht="63.75" x14ac:dyDescent="0.2">
      <c r="A78" s="67" t="s">
        <v>100</v>
      </c>
      <c r="B78" s="68" t="str">
        <f>VLOOKUP(horas_estimada[[#This Row],[ID]],catalogo[],2,FALSE)</f>
        <v>Dados em SGBD</v>
      </c>
      <c r="C78" s="69" t="str">
        <f>VLOOKUP(horas_estimada[[#This Row],[ID]],catalogo[],3,FALSE)</f>
        <v xml:space="preserve">Construir processo de ETL com necessidade de alinhamento ou refinamento de requisitos  (adicionar ao total de horas das atividades fixas 5,3 horas multiplicado pelo somatório de arquivos ou tabelas de origem e de destino, ou seja, total de horas = qtd de horas fixas + 5,3 * (qtd de arquivos ou tabelas de origem + qtd de arquivos ou tabelas de destino)) </v>
      </c>
      <c r="D78" s="70" t="s">
        <v>187</v>
      </c>
      <c r="E78" s="97">
        <v>0.5</v>
      </c>
      <c r="F78" s="72"/>
    </row>
    <row r="79" spans="1:6" ht="64.5" thickBot="1" x14ac:dyDescent="0.25">
      <c r="A79" s="73" t="s">
        <v>100</v>
      </c>
      <c r="B79" s="74" t="str">
        <f>VLOOKUP(horas_estimada[[#This Row],[ID]],catalogo[],2,FALSE)</f>
        <v>Dados em SGBD</v>
      </c>
      <c r="C79" s="75" t="str">
        <f>VLOOKUP(horas_estimada[[#This Row],[ID]],catalogo[],3,FALSE)</f>
        <v xml:space="preserve">Construir processo de ETL com necessidade de alinhamento ou refinamento de requisitos  (adicionar ao total de horas das atividades fixas 5,3 horas multiplicado pelo somatório de arquivos ou tabelas de origem e de destino, ou seja, total de horas = qtd de horas fixas + 5,3 * (qtd de arquivos ou tabelas de origem + qtd de arquivos ou tabelas de destino)) </v>
      </c>
      <c r="D79" s="76" t="s">
        <v>188</v>
      </c>
      <c r="E79" s="77">
        <v>0.25</v>
      </c>
      <c r="F79" s="78"/>
    </row>
    <row r="80" spans="1:6" ht="63.75" x14ac:dyDescent="0.2">
      <c r="A80" s="79" t="s">
        <v>106</v>
      </c>
      <c r="B80" s="80" t="str">
        <f>VLOOKUP(horas_estimada[[#This Row],[ID]],catalogo[],2,FALSE)</f>
        <v>Dados em SGBD</v>
      </c>
      <c r="C80" s="81" t="str">
        <f>VLOOKUP(horas_estimada[[#This Row],[ID]],catalogo[],3,FALSE)</f>
        <v xml:space="preserve">Construir processo de ETL SEM necessidade de alinhamento ou refinamento de requisitos  (adicionar ao total de horas das atividades fixas 5,3 horas multiplicado pelo somatório de arquivos ou tabelas de origem e de destino, ou seja, total de horas = qtd de horas fixas + 5,3 * (qtd de arquivos ou tabelas de origem + qtd de arquivos ou tabelas de destino)) </v>
      </c>
      <c r="D80" s="82" t="s">
        <v>189</v>
      </c>
      <c r="E80" s="99">
        <v>1</v>
      </c>
      <c r="F80" s="51"/>
    </row>
    <row r="81" spans="1:6" ht="63.75" x14ac:dyDescent="0.2">
      <c r="A81" s="84" t="s">
        <v>106</v>
      </c>
      <c r="B81" s="55" t="str">
        <f>VLOOKUP(horas_estimada[[#This Row],[ID]],catalogo[],2,FALSE)</f>
        <v>Dados em SGBD</v>
      </c>
      <c r="C81" s="56" t="str">
        <f>VLOOKUP(horas_estimada[[#This Row],[ID]],catalogo[],3,FALSE)</f>
        <v xml:space="preserve">Construir processo de ETL SEM necessidade de alinhamento ou refinamento de requisitos  (adicionar ao total de horas das atividades fixas 5,3 horas multiplicado pelo somatório de arquivos ou tabelas de origem e de destino, ou seja, total de horas = qtd de horas fixas + 5,3 * (qtd de arquivos ou tabelas de origem + qtd de arquivos ou tabelas de destino)) </v>
      </c>
      <c r="D81" s="60" t="s">
        <v>184</v>
      </c>
      <c r="E81" s="54">
        <v>1</v>
      </c>
      <c r="F81" s="52"/>
    </row>
    <row r="82" spans="1:6" ht="114.75" x14ac:dyDescent="0.2">
      <c r="A82" s="84" t="s">
        <v>106</v>
      </c>
      <c r="B82" s="55" t="str">
        <f>VLOOKUP(horas_estimada[[#This Row],[ID]],catalogo[],2,FALSE)</f>
        <v>Dados em SGBD</v>
      </c>
      <c r="C82" s="56" t="str">
        <f>VLOOKUP(horas_estimada[[#This Row],[ID]],catalogo[],3,FALSE)</f>
        <v xml:space="preserve">Construir processo de ETL SEM necessidade de alinhamento ou refinamento de requisitos  (adicionar ao total de horas das atividades fixas 5,3 horas multiplicado pelo somatório de arquivos ou tabelas de origem e de destino, ou seja, total de horas = qtd de horas fixas + 5,3 * (qtd de arquivos ou tabelas de origem + qtd de arquivos ou tabelas de destino)) </v>
      </c>
      <c r="D82" s="60" t="s">
        <v>185</v>
      </c>
      <c r="E82" s="54">
        <f>(5.3*horas_estimada[[#This Row],[Média para estimativa do catálogo (casos onde existe o fator variável)]])</f>
        <v>31.799999999999997</v>
      </c>
      <c r="F82" s="52">
        <v>6</v>
      </c>
    </row>
    <row r="83" spans="1:6" ht="63.75" x14ac:dyDescent="0.2">
      <c r="A83" s="84" t="s">
        <v>106</v>
      </c>
      <c r="B83" s="55" t="str">
        <f>VLOOKUP(horas_estimada[[#This Row],[ID]],catalogo[],2,FALSE)</f>
        <v>Dados em SGBD</v>
      </c>
      <c r="C83" s="56" t="str">
        <f>VLOOKUP(horas_estimada[[#This Row],[ID]],catalogo[],3,FALSE)</f>
        <v xml:space="preserve">Construir processo de ETL SEM necessidade de alinhamento ou refinamento de requisitos  (adicionar ao total de horas das atividades fixas 5,3 horas multiplicado pelo somatório de arquivos ou tabelas de origem e de destino, ou seja, total de horas = qtd de horas fixas + 5,3 * (qtd de arquivos ou tabelas de origem + qtd de arquivos ou tabelas de destino)) </v>
      </c>
      <c r="D83" s="60" t="s">
        <v>186</v>
      </c>
      <c r="E83" s="54">
        <v>1</v>
      </c>
      <c r="F83" s="52"/>
    </row>
    <row r="84" spans="1:6" ht="63.75" x14ac:dyDescent="0.2">
      <c r="A84" s="84" t="s">
        <v>106</v>
      </c>
      <c r="B84" s="55" t="str">
        <f>VLOOKUP(horas_estimada[[#This Row],[ID]],catalogo[],2,FALSE)</f>
        <v>Dados em SGBD</v>
      </c>
      <c r="C84" s="56" t="str">
        <f>VLOOKUP(horas_estimada[[#This Row],[ID]],catalogo[],3,FALSE)</f>
        <v xml:space="preserve">Construir processo de ETL SEM necessidade de alinhamento ou refinamento de requisitos  (adicionar ao total de horas das atividades fixas 5,3 horas multiplicado pelo somatório de arquivos ou tabelas de origem e de destino, ou seja, total de horas = qtd de horas fixas + 5,3 * (qtd de arquivos ou tabelas de origem + qtd de arquivos ou tabelas de destino)) </v>
      </c>
      <c r="D84" s="60" t="s">
        <v>187</v>
      </c>
      <c r="E84" s="54">
        <v>0.5</v>
      </c>
      <c r="F84" s="52"/>
    </row>
    <row r="85" spans="1:6" ht="64.5" thickBot="1" x14ac:dyDescent="0.25">
      <c r="A85" s="85" t="s">
        <v>106</v>
      </c>
      <c r="B85" s="86" t="str">
        <f>VLOOKUP(horas_estimada[[#This Row],[ID]],catalogo[],2,FALSE)</f>
        <v>Dados em SGBD</v>
      </c>
      <c r="C85" s="87" t="str">
        <f>VLOOKUP(horas_estimada[[#This Row],[ID]],catalogo[],3,FALSE)</f>
        <v xml:space="preserve">Construir processo de ETL SEM necessidade de alinhamento ou refinamento de requisitos  (adicionar ao total de horas das atividades fixas 5,3 horas multiplicado pelo somatório de arquivos ou tabelas de origem e de destino, ou seja, total de horas = qtd de horas fixas + 5,3 * (qtd de arquivos ou tabelas de origem + qtd de arquivos ou tabelas de destino)) </v>
      </c>
      <c r="D85" s="88" t="s">
        <v>188</v>
      </c>
      <c r="E85" s="92">
        <v>0.25</v>
      </c>
      <c r="F85" s="53"/>
    </row>
    <row r="86" spans="1:6" ht="76.5" x14ac:dyDescent="0.2">
      <c r="A86" s="61" t="s">
        <v>110</v>
      </c>
      <c r="B86" s="62" t="str">
        <f>VLOOKUP(horas_estimada[[#This Row],[ID]],catalogo[],2,FALSE)</f>
        <v>Dados em SGBD</v>
      </c>
      <c r="C86" s="63" t="str">
        <f>VLOOKUP(horas_estimada[[#This Row],[ID]],catalogo[],3,FALSE)</f>
        <v xml:space="preserve">Construir processo de ETL, com necessidade de criação de etapa com uso de script, por limitação da plataforma de desenvolvimento do ETL,   (adicionar ao total de horas das atividades fixas 5,3 horas multiplicado pelo somatório de arquivos ou tabelas de origem e de destino, ou seja, total de horas = qtd de horas fixas + 5,3 * (qtd de arquivos ou tabelas de origem + qtd de arquivos ou tabelas de destino)) </v>
      </c>
      <c r="D86" s="64" t="s">
        <v>183</v>
      </c>
      <c r="E86" s="65">
        <v>1</v>
      </c>
      <c r="F86" s="66"/>
    </row>
    <row r="87" spans="1:6" ht="76.5" x14ac:dyDescent="0.2">
      <c r="A87" s="67" t="s">
        <v>110</v>
      </c>
      <c r="B87" s="68" t="str">
        <f>VLOOKUP(horas_estimada[[#This Row],[ID]],catalogo[],2,FALSE)</f>
        <v>Dados em SGBD</v>
      </c>
      <c r="C87" s="69" t="str">
        <f>VLOOKUP(horas_estimada[[#This Row],[ID]],catalogo[],3,FALSE)</f>
        <v xml:space="preserve">Construir processo de ETL, com necessidade de criação de etapa com uso de script, por limitação da plataforma de desenvolvimento do ETL,   (adicionar ao total de horas das atividades fixas 5,3 horas multiplicado pelo somatório de arquivos ou tabelas de origem e de destino, ou seja, total de horas = qtd de horas fixas + 5,3 * (qtd de arquivos ou tabelas de origem + qtd de arquivos ou tabelas de destino)) </v>
      </c>
      <c r="D87" s="70" t="s">
        <v>184</v>
      </c>
      <c r="E87" s="71">
        <v>4</v>
      </c>
      <c r="F87" s="72"/>
    </row>
    <row r="88" spans="1:6" ht="114.75" x14ac:dyDescent="0.2">
      <c r="A88" s="67" t="s">
        <v>110</v>
      </c>
      <c r="B88" s="68" t="str">
        <f>VLOOKUP(horas_estimada[[#This Row],[ID]],catalogo[],2,FALSE)</f>
        <v>Dados em SGBD</v>
      </c>
      <c r="C88" s="69" t="str">
        <f>VLOOKUP(horas_estimada[[#This Row],[ID]],catalogo[],3,FALSE)</f>
        <v xml:space="preserve">Construir processo de ETL, com necessidade de criação de etapa com uso de script, por limitação da plataforma de desenvolvimento do ETL,   (adicionar ao total de horas das atividades fixas 5,3 horas multiplicado pelo somatório de arquivos ou tabelas de origem e de destino, ou seja, total de horas = qtd de horas fixas + 5,3 * (qtd de arquivos ou tabelas de origem + qtd de arquivos ou tabelas de destino)) </v>
      </c>
      <c r="D88" s="70" t="s">
        <v>185</v>
      </c>
      <c r="E88" s="71">
        <f>(5.3*horas_estimada[[#This Row],[Média para estimativa do catálogo (casos onde existe o fator variável)]])</f>
        <v>31.799999999999997</v>
      </c>
      <c r="F88" s="72">
        <v>6</v>
      </c>
    </row>
    <row r="89" spans="1:6" x14ac:dyDescent="0.2">
      <c r="A89" s="67">
        <v>1.19</v>
      </c>
      <c r="B89" s="68" t="e">
        <f>VLOOKUP(horas_estimada[[#This Row],[ID]],catalogo[],2,FALSE)</f>
        <v>#N/A</v>
      </c>
      <c r="C89" s="69" t="e">
        <f>VLOOKUP(horas_estimada[[#This Row],[ID]],catalogo[],3,FALSE)</f>
        <v>#N/A</v>
      </c>
      <c r="D89" s="70" t="s">
        <v>190</v>
      </c>
      <c r="E89" s="71">
        <v>6</v>
      </c>
      <c r="F89" s="72"/>
    </row>
    <row r="90" spans="1:6" ht="76.5" x14ac:dyDescent="0.2">
      <c r="A90" s="67" t="s">
        <v>110</v>
      </c>
      <c r="B90" s="68" t="str">
        <f>VLOOKUP(horas_estimada[[#This Row],[ID]],catalogo[],2,FALSE)</f>
        <v>Dados em SGBD</v>
      </c>
      <c r="C90" s="69" t="str">
        <f>VLOOKUP(horas_estimada[[#This Row],[ID]],catalogo[],3,FALSE)</f>
        <v xml:space="preserve">Construir processo de ETL, com necessidade de criação de etapa com uso de script, por limitação da plataforma de desenvolvimento do ETL,   (adicionar ao total de horas das atividades fixas 5,3 horas multiplicado pelo somatório de arquivos ou tabelas de origem e de destino, ou seja, total de horas = qtd de horas fixas + 5,3 * (qtd de arquivos ou tabelas de origem + qtd de arquivos ou tabelas de destino)) </v>
      </c>
      <c r="D90" s="70" t="s">
        <v>186</v>
      </c>
      <c r="E90" s="71">
        <v>1</v>
      </c>
      <c r="F90" s="72"/>
    </row>
    <row r="91" spans="1:6" ht="76.5" x14ac:dyDescent="0.2">
      <c r="A91" s="67" t="s">
        <v>110</v>
      </c>
      <c r="B91" s="68" t="str">
        <f>VLOOKUP(horas_estimada[[#This Row],[ID]],catalogo[],2,FALSE)</f>
        <v>Dados em SGBD</v>
      </c>
      <c r="C91" s="69" t="str">
        <f>VLOOKUP(horas_estimada[[#This Row],[ID]],catalogo[],3,FALSE)</f>
        <v xml:space="preserve">Construir processo de ETL, com necessidade de criação de etapa com uso de script, por limitação da plataforma de desenvolvimento do ETL,   (adicionar ao total de horas das atividades fixas 5,3 horas multiplicado pelo somatório de arquivos ou tabelas de origem e de destino, ou seja, total de horas = qtd de horas fixas + 5,3 * (qtd de arquivos ou tabelas de origem + qtd de arquivos ou tabelas de destino)) </v>
      </c>
      <c r="D91" s="70" t="s">
        <v>187</v>
      </c>
      <c r="E91" s="71">
        <v>0.5</v>
      </c>
      <c r="F91" s="72"/>
    </row>
    <row r="92" spans="1:6" ht="77.25" thickBot="1" x14ac:dyDescent="0.25">
      <c r="A92" s="73" t="s">
        <v>110</v>
      </c>
      <c r="B92" s="74" t="str">
        <f>VLOOKUP(horas_estimada[[#This Row],[ID]],catalogo[],2,FALSE)</f>
        <v>Dados em SGBD</v>
      </c>
      <c r="C92" s="75" t="str">
        <f>VLOOKUP(horas_estimada[[#This Row],[ID]],catalogo[],3,FALSE)</f>
        <v xml:space="preserve">Construir processo de ETL, com necessidade de criação de etapa com uso de script, por limitação da plataforma de desenvolvimento do ETL,   (adicionar ao total de horas das atividades fixas 5,3 horas multiplicado pelo somatório de arquivos ou tabelas de origem e de destino, ou seja, total de horas = qtd de horas fixas + 5,3 * (qtd de arquivos ou tabelas de origem + qtd de arquivos ou tabelas de destino)) </v>
      </c>
      <c r="D92" s="76" t="s">
        <v>188</v>
      </c>
      <c r="E92" s="91">
        <v>0.25</v>
      </c>
      <c r="F92" s="78"/>
    </row>
    <row r="93" spans="1:6" ht="51" x14ac:dyDescent="0.2">
      <c r="A93" s="93" t="s">
        <v>113</v>
      </c>
      <c r="B93" s="80" t="str">
        <f>VLOOKUP(horas_estimada[[#This Row],[ID]],catalogo[],2,FALSE)</f>
        <v>Dados em SGBD</v>
      </c>
      <c r="C93" s="81" t="str">
        <f>VLOOKUP(horas_estimada[[#This Row],[ID]],catalogo[],3,FALSE)</f>
        <v xml:space="preserve">Alterar processo de ETL (adicionar ao total de horas das atividades fixas 1.5 horas multiplicado pelo somatório de arquivos ou tabelas de origem e de destino, ou seja, total de horas = qtd de horas fixas + 1.5 * (qtd de arquivos ou tabelas de origem + qtd de arquivos ou tabelas de destino)) </v>
      </c>
      <c r="D93" s="82" t="s">
        <v>183</v>
      </c>
      <c r="E93" s="98">
        <v>1</v>
      </c>
      <c r="F93" s="51"/>
    </row>
    <row r="94" spans="1:6" ht="51" x14ac:dyDescent="0.2">
      <c r="A94" s="94" t="s">
        <v>113</v>
      </c>
      <c r="B94" s="55" t="str">
        <f>VLOOKUP(horas_estimada[[#This Row],[ID]],catalogo[],2,FALSE)</f>
        <v>Dados em SGBD</v>
      </c>
      <c r="C94" s="56" t="str">
        <f>VLOOKUP(horas_estimada[[#This Row],[ID]],catalogo[],3,FALSE)</f>
        <v xml:space="preserve">Alterar processo de ETL (adicionar ao total de horas das atividades fixas 1.5 horas multiplicado pelo somatório de arquivos ou tabelas de origem e de destino, ou seja, total de horas = qtd de horas fixas + 1.5 * (qtd de arquivos ou tabelas de origem + qtd de arquivos ou tabelas de destino)) </v>
      </c>
      <c r="D94" s="60" t="s">
        <v>184</v>
      </c>
      <c r="E94" s="90">
        <v>0.5</v>
      </c>
      <c r="F94" s="52"/>
    </row>
    <row r="95" spans="1:6" ht="114.75" x14ac:dyDescent="0.2">
      <c r="A95" s="94" t="s">
        <v>113</v>
      </c>
      <c r="B95" s="55" t="str">
        <f>VLOOKUP(horas_estimada[[#This Row],[ID]],catalogo[],2,FALSE)</f>
        <v>Dados em SGBD</v>
      </c>
      <c r="C95" s="56" t="str">
        <f>VLOOKUP(horas_estimada[[#This Row],[ID]],catalogo[],3,FALSE)</f>
        <v xml:space="preserve">Alterar processo de ETL (adicionar ao total de horas das atividades fixas 1.5 horas multiplicado pelo somatório de arquivos ou tabelas de origem e de destino, ou seja, total de horas = qtd de horas fixas + 1.5 * (qtd de arquivos ou tabelas de origem + qtd de arquivos ou tabelas de destino)) </v>
      </c>
      <c r="D95" s="60" t="s">
        <v>191</v>
      </c>
      <c r="E95" s="90">
        <f>(1.5*horas_estimada[[#This Row],[Média para estimativa do catálogo (casos onde existe o fator variável)]])</f>
        <v>12</v>
      </c>
      <c r="F95" s="52">
        <v>8</v>
      </c>
    </row>
    <row r="96" spans="1:6" ht="51" x14ac:dyDescent="0.2">
      <c r="A96" s="94" t="s">
        <v>113</v>
      </c>
      <c r="B96" s="55" t="str">
        <f>VLOOKUP(horas_estimada[[#This Row],[ID]],catalogo[],2,FALSE)</f>
        <v>Dados em SGBD</v>
      </c>
      <c r="C96" s="56" t="str">
        <f>VLOOKUP(horas_estimada[[#This Row],[ID]],catalogo[],3,FALSE)</f>
        <v xml:space="preserve">Alterar processo de ETL (adicionar ao total de horas das atividades fixas 1.5 horas multiplicado pelo somatório de arquivos ou tabelas de origem e de destino, ou seja, total de horas = qtd de horas fixas + 1.5 * (qtd de arquivos ou tabelas de origem + qtd de arquivos ou tabelas de destino)) </v>
      </c>
      <c r="D96" s="60" t="s">
        <v>188</v>
      </c>
      <c r="E96" s="90">
        <v>1</v>
      </c>
      <c r="F96" s="52"/>
    </row>
    <row r="97" spans="1:7" ht="51" x14ac:dyDescent="0.2">
      <c r="A97" s="94" t="s">
        <v>113</v>
      </c>
      <c r="B97" s="55" t="str">
        <f>VLOOKUP(horas_estimada[[#This Row],[ID]],catalogo[],2,FALSE)</f>
        <v>Dados em SGBD</v>
      </c>
      <c r="C97" s="56" t="str">
        <f>VLOOKUP(horas_estimada[[#This Row],[ID]],catalogo[],3,FALSE)</f>
        <v xml:space="preserve">Alterar processo de ETL (adicionar ao total de horas das atividades fixas 1.5 horas multiplicado pelo somatório de arquivos ou tabelas de origem e de destino, ou seja, total de horas = qtd de horas fixas + 1.5 * (qtd de arquivos ou tabelas de origem + qtd de arquivos ou tabelas de destino)) </v>
      </c>
      <c r="D97" s="60" t="s">
        <v>187</v>
      </c>
      <c r="E97" s="90">
        <v>0.5</v>
      </c>
      <c r="F97" s="52"/>
    </row>
    <row r="98" spans="1:7" ht="51.75" thickBot="1" x14ac:dyDescent="0.25">
      <c r="A98" s="95" t="s">
        <v>113</v>
      </c>
      <c r="B98" s="86" t="str">
        <f>VLOOKUP(horas_estimada[[#This Row],[ID]],catalogo[],2,FALSE)</f>
        <v>Dados em SGBD</v>
      </c>
      <c r="C98" s="87" t="str">
        <f>VLOOKUP(horas_estimada[[#This Row],[ID]],catalogo[],3,FALSE)</f>
        <v xml:space="preserve">Alterar processo de ETL (adicionar ao total de horas das atividades fixas 1.5 horas multiplicado pelo somatório de arquivos ou tabelas de origem e de destino, ou seja, total de horas = qtd de horas fixas + 1.5 * (qtd de arquivos ou tabelas de origem + qtd de arquivos ou tabelas de destino)) </v>
      </c>
      <c r="D98" s="88" t="s">
        <v>188</v>
      </c>
      <c r="E98" s="89">
        <v>0.25</v>
      </c>
      <c r="F98" s="53"/>
    </row>
    <row r="99" spans="1:7" s="44" customFormat="1" ht="25.5" x14ac:dyDescent="0.2">
      <c r="A99" s="61" t="s">
        <v>117</v>
      </c>
      <c r="B99" s="62" t="str">
        <f>VLOOKUP(horas_estimada[[#This Row],[ID]],catalogo[],2,FALSE)</f>
        <v>Business Intelligence</v>
      </c>
      <c r="C99" s="63" t="str">
        <f>VLOOKUP(horas_estimada[[#This Row],[ID]],catalogo[],3,FALSE)</f>
        <v>Produzir painel em Microsoft Power BI sem modelo de dados disponível (cada painel equivale a uma página do PowerBI)</v>
      </c>
      <c r="D99" s="100" t="s">
        <v>192</v>
      </c>
      <c r="E99" s="101">
        <v>1.5</v>
      </c>
      <c r="F99" s="66"/>
      <c r="G99" s="43"/>
    </row>
    <row r="100" spans="1:7" s="44" customFormat="1" ht="25.5" x14ac:dyDescent="0.2">
      <c r="A100" s="67" t="s">
        <v>117</v>
      </c>
      <c r="B100" s="68" t="str">
        <f>VLOOKUP(horas_estimada[[#This Row],[ID]],catalogo[],2,FALSE)</f>
        <v>Business Intelligence</v>
      </c>
      <c r="C100" s="69" t="str">
        <f>VLOOKUP(horas_estimada[[#This Row],[ID]],catalogo[],3,FALSE)</f>
        <v>Produzir painel em Microsoft Power BI sem modelo de dados disponível (cada painel equivale a uma página do PowerBI)</v>
      </c>
      <c r="D100" s="96" t="s">
        <v>193</v>
      </c>
      <c r="E100" s="97">
        <f>2.5*F100</f>
        <v>10</v>
      </c>
      <c r="F100" s="72">
        <v>4</v>
      </c>
      <c r="G100" s="43"/>
    </row>
    <row r="101" spans="1:7" s="44" customFormat="1" ht="25.5" x14ac:dyDescent="0.2">
      <c r="A101" s="67" t="s">
        <v>117</v>
      </c>
      <c r="B101" s="68" t="str">
        <f>VLOOKUP(horas_estimada[[#This Row],[ID]],catalogo[],2,FALSE)</f>
        <v>Business Intelligence</v>
      </c>
      <c r="C101" s="69" t="str">
        <f>VLOOKUP(horas_estimada[[#This Row],[ID]],catalogo[],3,FALSE)</f>
        <v>Produzir painel em Microsoft Power BI sem modelo de dados disponível (cada painel equivale a uma página do PowerBI)</v>
      </c>
      <c r="D101" s="96" t="s">
        <v>194</v>
      </c>
      <c r="E101" s="97">
        <v>3</v>
      </c>
      <c r="F101" s="72"/>
      <c r="G101" s="43"/>
    </row>
    <row r="102" spans="1:7" s="44" customFormat="1" ht="25.5" x14ac:dyDescent="0.2">
      <c r="A102" s="67" t="s">
        <v>117</v>
      </c>
      <c r="B102" s="68" t="str">
        <f>VLOOKUP(horas_estimada[[#This Row],[ID]],catalogo[],2,FALSE)</f>
        <v>Business Intelligence</v>
      </c>
      <c r="C102" s="69" t="str">
        <f>VLOOKUP(horas_estimada[[#This Row],[ID]],catalogo[],3,FALSE)</f>
        <v>Produzir painel em Microsoft Power BI sem modelo de dados disponível (cada painel equivale a uma página do PowerBI)</v>
      </c>
      <c r="D102" s="96" t="s">
        <v>195</v>
      </c>
      <c r="E102" s="97">
        <v>3</v>
      </c>
      <c r="F102" s="72"/>
      <c r="G102" s="43"/>
    </row>
    <row r="103" spans="1:7" s="44" customFormat="1" ht="25.5" x14ac:dyDescent="0.2">
      <c r="A103" s="67" t="s">
        <v>117</v>
      </c>
      <c r="B103" s="68" t="str">
        <f>VLOOKUP(horas_estimada[[#This Row],[ID]],catalogo[],2,FALSE)</f>
        <v>Business Intelligence</v>
      </c>
      <c r="C103" s="69" t="str">
        <f>VLOOKUP(horas_estimada[[#This Row],[ID]],catalogo[],3,FALSE)</f>
        <v>Produzir painel em Microsoft Power BI sem modelo de dados disponível (cada painel equivale a uma página do PowerBI)</v>
      </c>
      <c r="D103" s="96" t="s">
        <v>196</v>
      </c>
      <c r="E103" s="97">
        <f>1*F103</f>
        <v>3</v>
      </c>
      <c r="F103" s="72">
        <v>3</v>
      </c>
      <c r="G103" s="43"/>
    </row>
    <row r="104" spans="1:7" s="44" customFormat="1" ht="38.25" x14ac:dyDescent="0.2">
      <c r="A104" s="67" t="s">
        <v>117</v>
      </c>
      <c r="B104" s="68" t="str">
        <f>VLOOKUP(horas_estimada[[#This Row],[ID]],catalogo[],2,FALSE)</f>
        <v>Business Intelligence</v>
      </c>
      <c r="C104" s="69" t="str">
        <f>VLOOKUP(horas_estimada[[#This Row],[ID]],catalogo[],3,FALSE)</f>
        <v>Produzir painel em Microsoft Power BI sem modelo de dados disponível (cada painel equivale a uma página do PowerBI)</v>
      </c>
      <c r="D104" s="96" t="s">
        <v>197</v>
      </c>
      <c r="E104" s="97">
        <f t="shared" ref="E104:E105" si="0">1*F104</f>
        <v>2</v>
      </c>
      <c r="F104" s="72">
        <v>2</v>
      </c>
      <c r="G104" s="43"/>
    </row>
    <row r="105" spans="1:7" s="44" customFormat="1" ht="25.5" x14ac:dyDescent="0.2">
      <c r="A105" s="67" t="s">
        <v>117</v>
      </c>
      <c r="B105" s="68" t="str">
        <f>VLOOKUP(horas_estimada[[#This Row],[ID]],catalogo[],2,FALSE)</f>
        <v>Business Intelligence</v>
      </c>
      <c r="C105" s="69" t="str">
        <f>VLOOKUP(horas_estimada[[#This Row],[ID]],catalogo[],3,FALSE)</f>
        <v>Produzir painel em Microsoft Power BI sem modelo de dados disponível (cada painel equivale a uma página do PowerBI)</v>
      </c>
      <c r="D105" s="96" t="s">
        <v>198</v>
      </c>
      <c r="E105" s="97">
        <f t="shared" si="0"/>
        <v>5</v>
      </c>
      <c r="F105" s="72">
        <v>5</v>
      </c>
      <c r="G105" s="43"/>
    </row>
    <row r="106" spans="1:7" s="44" customFormat="1" ht="25.5" x14ac:dyDescent="0.2">
      <c r="A106" s="67" t="s">
        <v>117</v>
      </c>
      <c r="B106" s="68" t="str">
        <f>VLOOKUP(horas_estimada[[#This Row],[ID]],catalogo[],2,FALSE)</f>
        <v>Business Intelligence</v>
      </c>
      <c r="C106" s="69" t="str">
        <f>VLOOKUP(horas_estimada[[#This Row],[ID]],catalogo[],3,FALSE)</f>
        <v>Produzir painel em Microsoft Power BI sem modelo de dados disponível (cada painel equivale a uma página do PowerBI)</v>
      </c>
      <c r="D106" s="70" t="s">
        <v>199</v>
      </c>
      <c r="E106" s="97">
        <v>1</v>
      </c>
      <c r="F106" s="72"/>
      <c r="G106" s="43"/>
    </row>
    <row r="107" spans="1:7" s="44" customFormat="1" ht="25.5" x14ac:dyDescent="0.2">
      <c r="A107" s="67" t="s">
        <v>117</v>
      </c>
      <c r="B107" s="71" t="str">
        <f>VLOOKUP(horas_estimada[[#This Row],[ID]],catalogo[],2,FALSE)</f>
        <v>Business Intelligence</v>
      </c>
      <c r="C107" s="102" t="str">
        <f>VLOOKUP(horas_estimada[[#This Row],[ID]],catalogo[],3,FALSE)</f>
        <v>Produzir painel em Microsoft Power BI sem modelo de dados disponível (cada painel equivale a uma página do PowerBI)</v>
      </c>
      <c r="D107" s="70" t="s">
        <v>200</v>
      </c>
      <c r="E107" s="71">
        <v>0.5</v>
      </c>
      <c r="F107" s="72"/>
      <c r="G107" s="43"/>
    </row>
    <row r="108" spans="1:7" s="44" customFormat="1" ht="26.25" thickBot="1" x14ac:dyDescent="0.25">
      <c r="A108" s="73" t="s">
        <v>117</v>
      </c>
      <c r="B108" s="74" t="str">
        <f>VLOOKUP(horas_estimada[[#This Row],[ID]],catalogo[],2,FALSE)</f>
        <v>Business Intelligence</v>
      </c>
      <c r="C108" s="75" t="str">
        <f>VLOOKUP(horas_estimada[[#This Row],[ID]],catalogo[],3,FALSE)</f>
        <v>Produzir painel em Microsoft Power BI sem modelo de dados disponível (cada painel equivale a uma página do PowerBI)</v>
      </c>
      <c r="D108" s="76" t="s">
        <v>165</v>
      </c>
      <c r="E108" s="77">
        <v>0.25</v>
      </c>
      <c r="F108" s="78"/>
      <c r="G108" s="43"/>
    </row>
    <row r="109" spans="1:7" s="44" customFormat="1" ht="25.5" x14ac:dyDescent="0.2">
      <c r="A109" s="79" t="s">
        <v>125</v>
      </c>
      <c r="B109" s="80" t="str">
        <f>VLOOKUP(horas_estimada[[#This Row],[ID]],catalogo[],2,FALSE)</f>
        <v>Business Intelligence</v>
      </c>
      <c r="C109" s="81" t="str">
        <f>VLOOKUP(horas_estimada[[#This Row],[ID]],catalogo[],3,FALSE)</f>
        <v>Produzir painel em Microsoft Power BI com modelo de dados disponível (cada painel equivale a uma página do PowerBI)</v>
      </c>
      <c r="D109" s="103" t="s">
        <v>192</v>
      </c>
      <c r="E109" s="98">
        <v>1.5</v>
      </c>
      <c r="F109" s="51"/>
      <c r="G109" s="43"/>
    </row>
    <row r="110" spans="1:7" s="44" customFormat="1" ht="25.5" x14ac:dyDescent="0.2">
      <c r="A110" s="84" t="s">
        <v>125</v>
      </c>
      <c r="B110" s="55" t="str">
        <f>VLOOKUP(horas_estimada[[#This Row],[ID]],catalogo[],2,FALSE)</f>
        <v>Business Intelligence</v>
      </c>
      <c r="C110" s="56" t="str">
        <f>VLOOKUP(horas_estimada[[#This Row],[ID]],catalogo[],3,FALSE)</f>
        <v>Produzir painel em Microsoft Power BI com modelo de dados disponível (cada painel equivale a uma página do PowerBI)</v>
      </c>
      <c r="D110" s="59" t="s">
        <v>194</v>
      </c>
      <c r="E110" s="90">
        <v>3</v>
      </c>
      <c r="F110" s="52"/>
      <c r="G110" s="43"/>
    </row>
    <row r="111" spans="1:7" s="44" customFormat="1" ht="25.5" x14ac:dyDescent="0.2">
      <c r="A111" s="84" t="s">
        <v>125</v>
      </c>
      <c r="B111" s="55" t="str">
        <f>VLOOKUP(horas_estimada[[#This Row],[ID]],catalogo[],2,FALSE)</f>
        <v>Business Intelligence</v>
      </c>
      <c r="C111" s="56" t="str">
        <f>VLOOKUP(horas_estimada[[#This Row],[ID]],catalogo[],3,FALSE)</f>
        <v>Produzir painel em Microsoft Power BI com modelo de dados disponível (cada painel equivale a uma página do PowerBI)</v>
      </c>
      <c r="D111" s="59" t="s">
        <v>195</v>
      </c>
      <c r="E111" s="90">
        <v>3</v>
      </c>
      <c r="F111" s="52"/>
      <c r="G111" s="43"/>
    </row>
    <row r="112" spans="1:7" s="44" customFormat="1" ht="25.5" x14ac:dyDescent="0.2">
      <c r="A112" s="84" t="s">
        <v>125</v>
      </c>
      <c r="B112" s="55" t="str">
        <f>VLOOKUP(horas_estimada[[#This Row],[ID]],catalogo[],2,FALSE)</f>
        <v>Business Intelligence</v>
      </c>
      <c r="C112" s="56" t="str">
        <f>VLOOKUP(horas_estimada[[#This Row],[ID]],catalogo[],3,FALSE)</f>
        <v>Produzir painel em Microsoft Power BI com modelo de dados disponível (cada painel equivale a uma página do PowerBI)</v>
      </c>
      <c r="D112" s="59" t="s">
        <v>196</v>
      </c>
      <c r="E112" s="90">
        <f>1*F112</f>
        <v>3</v>
      </c>
      <c r="F112" s="52">
        <v>3</v>
      </c>
      <c r="G112" s="43"/>
    </row>
    <row r="113" spans="1:7" s="44" customFormat="1" ht="38.25" x14ac:dyDescent="0.2">
      <c r="A113" s="84" t="s">
        <v>125</v>
      </c>
      <c r="B113" s="55" t="str">
        <f>VLOOKUP(horas_estimada[[#This Row],[ID]],catalogo[],2,FALSE)</f>
        <v>Business Intelligence</v>
      </c>
      <c r="C113" s="56" t="str">
        <f>VLOOKUP(horas_estimada[[#This Row],[ID]],catalogo[],3,FALSE)</f>
        <v>Produzir painel em Microsoft Power BI com modelo de dados disponível (cada painel equivale a uma página do PowerBI)</v>
      </c>
      <c r="D113" s="59" t="s">
        <v>197</v>
      </c>
      <c r="E113" s="90">
        <f t="shared" ref="E113:E114" si="1">1*F113</f>
        <v>2</v>
      </c>
      <c r="F113" s="52">
        <v>2</v>
      </c>
      <c r="G113" s="43"/>
    </row>
    <row r="114" spans="1:7" s="44" customFormat="1" ht="25.5" x14ac:dyDescent="0.2">
      <c r="A114" s="84" t="s">
        <v>125</v>
      </c>
      <c r="B114" s="55" t="str">
        <f>VLOOKUP(horas_estimada[[#This Row],[ID]],catalogo[],2,FALSE)</f>
        <v>Business Intelligence</v>
      </c>
      <c r="C114" s="56" t="str">
        <f>VLOOKUP(horas_estimada[[#This Row],[ID]],catalogo[],3,FALSE)</f>
        <v>Produzir painel em Microsoft Power BI com modelo de dados disponível (cada painel equivale a uma página do PowerBI)</v>
      </c>
      <c r="D114" s="59" t="s">
        <v>198</v>
      </c>
      <c r="E114" s="90">
        <f t="shared" si="1"/>
        <v>5</v>
      </c>
      <c r="F114" s="52">
        <v>5</v>
      </c>
      <c r="G114" s="43"/>
    </row>
    <row r="115" spans="1:7" s="44" customFormat="1" ht="25.5" x14ac:dyDescent="0.2">
      <c r="A115" s="84" t="s">
        <v>125</v>
      </c>
      <c r="B115" s="55" t="str">
        <f>VLOOKUP(horas_estimada[[#This Row],[ID]],catalogo[],2,FALSE)</f>
        <v>Business Intelligence</v>
      </c>
      <c r="C115" s="56" t="str">
        <f>VLOOKUP(horas_estimada[[#This Row],[ID]],catalogo[],3,FALSE)</f>
        <v>Produzir painel em Microsoft Power BI com modelo de dados disponível (cada painel equivale a uma página do PowerBI)</v>
      </c>
      <c r="D115" s="60" t="s">
        <v>199</v>
      </c>
      <c r="E115" s="90">
        <v>1</v>
      </c>
      <c r="F115" s="52"/>
      <c r="G115" s="43"/>
    </row>
    <row r="116" spans="1:7" s="44" customFormat="1" ht="25.5" x14ac:dyDescent="0.2">
      <c r="A116" s="84" t="s">
        <v>125</v>
      </c>
      <c r="B116" s="55" t="str">
        <f>VLOOKUP(horas_estimada[[#This Row],[ID]],catalogo[],2,FALSE)</f>
        <v>Business Intelligence</v>
      </c>
      <c r="C116" s="56" t="str">
        <f>VLOOKUP(horas_estimada[[#This Row],[ID]],catalogo[],3,FALSE)</f>
        <v>Produzir painel em Microsoft Power BI com modelo de dados disponível (cada painel equivale a uma página do PowerBI)</v>
      </c>
      <c r="D116" s="60" t="s">
        <v>200</v>
      </c>
      <c r="E116" s="54">
        <v>0.5</v>
      </c>
      <c r="F116" s="52"/>
      <c r="G116" s="43"/>
    </row>
    <row r="117" spans="1:7" s="44" customFormat="1" ht="26.25" thickBot="1" x14ac:dyDescent="0.25">
      <c r="A117" s="85" t="s">
        <v>125</v>
      </c>
      <c r="B117" s="86" t="str">
        <f>VLOOKUP(horas_estimada[[#This Row],[ID]],catalogo[],2,FALSE)</f>
        <v>Business Intelligence</v>
      </c>
      <c r="C117" s="87" t="str">
        <f>VLOOKUP(horas_estimada[[#This Row],[ID]],catalogo[],3,FALSE)</f>
        <v>Produzir painel em Microsoft Power BI com modelo de dados disponível (cada painel equivale a uma página do PowerBI)</v>
      </c>
      <c r="D117" s="88" t="s">
        <v>165</v>
      </c>
      <c r="E117" s="89">
        <v>0.25</v>
      </c>
      <c r="F117" s="53"/>
      <c r="G117" s="43"/>
    </row>
    <row r="118" spans="1:7" s="44" customFormat="1" x14ac:dyDescent="0.2">
      <c r="A118" s="61" t="s">
        <v>128</v>
      </c>
      <c r="B118" s="62" t="str">
        <f>VLOOKUP(horas_estimada[[#This Row],[ID]],catalogo[],2,FALSE)</f>
        <v>Business Intelligence</v>
      </c>
      <c r="C118" s="63" t="str">
        <f>VLOOKUP(horas_estimada[[#This Row],[ID]],catalogo[],3,FALSE)</f>
        <v>Alterar painel em Microsoft Power BI</v>
      </c>
      <c r="D118" s="100" t="s">
        <v>192</v>
      </c>
      <c r="E118" s="101">
        <v>1.5</v>
      </c>
      <c r="F118" s="66"/>
      <c r="G118" s="43"/>
    </row>
    <row r="119" spans="1:7" s="44" customFormat="1" x14ac:dyDescent="0.2">
      <c r="A119" s="67" t="s">
        <v>128</v>
      </c>
      <c r="B119" s="68" t="str">
        <f>VLOOKUP(horas_estimada[[#This Row],[ID]],catalogo[],2,FALSE)</f>
        <v>Business Intelligence</v>
      </c>
      <c r="C119" s="69" t="str">
        <f>VLOOKUP(horas_estimada[[#This Row],[ID]],catalogo[],3,FALSE)</f>
        <v>Alterar painel em Microsoft Power BI</v>
      </c>
      <c r="D119" s="96" t="s">
        <v>201</v>
      </c>
      <c r="E119" s="97">
        <v>1</v>
      </c>
      <c r="F119" s="72"/>
      <c r="G119" s="43"/>
    </row>
    <row r="120" spans="1:7" s="44" customFormat="1" x14ac:dyDescent="0.2">
      <c r="A120" s="67" t="s">
        <v>128</v>
      </c>
      <c r="B120" s="68" t="str">
        <f>VLOOKUP(horas_estimada[[#This Row],[ID]],catalogo[],2,FALSE)</f>
        <v>Business Intelligence</v>
      </c>
      <c r="C120" s="69" t="str">
        <f>VLOOKUP(horas_estimada[[#This Row],[ID]],catalogo[],3,FALSE)</f>
        <v>Alterar painel em Microsoft Power BI</v>
      </c>
      <c r="D120" s="96" t="s">
        <v>202</v>
      </c>
      <c r="E120" s="97">
        <v>1</v>
      </c>
      <c r="F120" s="72"/>
      <c r="G120" s="43"/>
    </row>
    <row r="121" spans="1:7" s="44" customFormat="1" ht="25.5" x14ac:dyDescent="0.2">
      <c r="A121" s="67" t="s">
        <v>128</v>
      </c>
      <c r="B121" s="68" t="str">
        <f>VLOOKUP(horas_estimada[[#This Row],[ID]],catalogo[],2,FALSE)</f>
        <v>Business Intelligence</v>
      </c>
      <c r="C121" s="69" t="str">
        <f>VLOOKUP(horas_estimada[[#This Row],[ID]],catalogo[],3,FALSE)</f>
        <v>Alterar painel em Microsoft Power BI</v>
      </c>
      <c r="D121" s="96" t="s">
        <v>203</v>
      </c>
      <c r="E121" s="97">
        <f>0.5*F121</f>
        <v>1.5</v>
      </c>
      <c r="F121" s="72">
        <v>3</v>
      </c>
      <c r="G121" s="43"/>
    </row>
    <row r="122" spans="1:7" s="44" customFormat="1" ht="38.25" x14ac:dyDescent="0.2">
      <c r="A122" s="67" t="s">
        <v>128</v>
      </c>
      <c r="B122" s="68" t="str">
        <f>VLOOKUP(horas_estimada[[#This Row],[ID]],catalogo[],2,FALSE)</f>
        <v>Business Intelligence</v>
      </c>
      <c r="C122" s="69" t="str">
        <f>VLOOKUP(horas_estimada[[#This Row],[ID]],catalogo[],3,FALSE)</f>
        <v>Alterar painel em Microsoft Power BI</v>
      </c>
      <c r="D122" s="96" t="s">
        <v>204</v>
      </c>
      <c r="E122" s="97">
        <f>0.5*F122</f>
        <v>1</v>
      </c>
      <c r="F122" s="72">
        <v>2</v>
      </c>
      <c r="G122" s="43"/>
    </row>
    <row r="123" spans="1:7" s="44" customFormat="1" ht="25.5" x14ac:dyDescent="0.2">
      <c r="A123" s="67" t="s">
        <v>128</v>
      </c>
      <c r="B123" s="68" t="str">
        <f>VLOOKUP(horas_estimada[[#This Row],[ID]],catalogo[],2,FALSE)</f>
        <v>Business Intelligence</v>
      </c>
      <c r="C123" s="69" t="str">
        <f>VLOOKUP(horas_estimada[[#This Row],[ID]],catalogo[],3,FALSE)</f>
        <v>Alterar painel em Microsoft Power BI</v>
      </c>
      <c r="D123" s="96" t="s">
        <v>205</v>
      </c>
      <c r="E123" s="97">
        <f>0.5*horas_estimada[[#This Row],[Média para estimativa do catálogo (casos onde existe o fator variável)]]</f>
        <v>2.5</v>
      </c>
      <c r="F123" s="72">
        <v>5</v>
      </c>
      <c r="G123" s="43"/>
    </row>
    <row r="124" spans="1:7" s="44" customFormat="1" x14ac:dyDescent="0.2">
      <c r="A124" s="67" t="s">
        <v>128</v>
      </c>
      <c r="B124" s="68" t="str">
        <f>VLOOKUP(horas_estimada[[#This Row],[ID]],catalogo[],2,FALSE)</f>
        <v>Business Intelligence</v>
      </c>
      <c r="C124" s="69" t="str">
        <f>VLOOKUP(horas_estimada[[#This Row],[ID]],catalogo[],3,FALSE)</f>
        <v>Alterar painel em Microsoft Power BI</v>
      </c>
      <c r="D124" s="70" t="s">
        <v>199</v>
      </c>
      <c r="E124" s="97">
        <v>1</v>
      </c>
      <c r="F124" s="72"/>
      <c r="G124" s="43"/>
    </row>
    <row r="125" spans="1:7" s="44" customFormat="1" ht="25.5" x14ac:dyDescent="0.2">
      <c r="A125" s="67" t="s">
        <v>128</v>
      </c>
      <c r="B125" s="68" t="str">
        <f>VLOOKUP(horas_estimada[[#This Row],[ID]],catalogo[],2,FALSE)</f>
        <v>Business Intelligence</v>
      </c>
      <c r="C125" s="69" t="str">
        <f>VLOOKUP(horas_estimada[[#This Row],[ID]],catalogo[],3,FALSE)</f>
        <v>Alterar painel em Microsoft Power BI</v>
      </c>
      <c r="D125" s="70" t="s">
        <v>200</v>
      </c>
      <c r="E125" s="71">
        <v>0.5</v>
      </c>
      <c r="F125" s="72"/>
      <c r="G125" s="43"/>
    </row>
    <row r="126" spans="1:7" s="44" customFormat="1" ht="13.5" thickBot="1" x14ac:dyDescent="0.25">
      <c r="A126" s="73" t="s">
        <v>128</v>
      </c>
      <c r="B126" s="74" t="str">
        <f>VLOOKUP(horas_estimada[[#This Row],[ID]],catalogo[],2,FALSE)</f>
        <v>Business Intelligence</v>
      </c>
      <c r="C126" s="75" t="str">
        <f>VLOOKUP(horas_estimada[[#This Row],[ID]],catalogo[],3,FALSE)</f>
        <v>Alterar painel em Microsoft Power BI</v>
      </c>
      <c r="D126" s="76" t="s">
        <v>165</v>
      </c>
      <c r="E126" s="77">
        <v>0.25</v>
      </c>
      <c r="F126" s="78"/>
      <c r="G126" s="43"/>
    </row>
    <row r="127" spans="1:7" ht="25.5" x14ac:dyDescent="0.2">
      <c r="A127" s="79" t="s">
        <v>131</v>
      </c>
      <c r="B127" s="80" t="str">
        <f>VLOOKUP(horas_estimada[[#This Row],[ID]],catalogo[],2,FALSE)</f>
        <v>LGPD</v>
      </c>
      <c r="C127" s="81" t="str">
        <f>VLOOKUP(horas_estimada[[#This Row],[ID]],catalogo[],3,FALSE)</f>
        <v>Inventário (Data Mapping) de dados pessoais e Relatório descritivo dos procedimentos e resultados  (Baixo Esforço)</v>
      </c>
      <c r="D127" s="103" t="s">
        <v>206</v>
      </c>
      <c r="E127" s="98">
        <v>0.5</v>
      </c>
      <c r="F127" s="51"/>
    </row>
    <row r="128" spans="1:7" ht="25.5" x14ac:dyDescent="0.2">
      <c r="A128" s="84" t="s">
        <v>131</v>
      </c>
      <c r="B128" s="55" t="str">
        <f>VLOOKUP(horas_estimada[[#This Row],[ID]],catalogo[],2,FALSE)</f>
        <v>LGPD</v>
      </c>
      <c r="C128" s="56" t="str">
        <f>VLOOKUP(horas_estimada[[#This Row],[ID]],catalogo[],3,FALSE)</f>
        <v>Inventário (Data Mapping) de dados pessoais e Relatório descritivo dos procedimentos e resultados  (Baixo Esforço)</v>
      </c>
      <c r="D128" s="59" t="s">
        <v>207</v>
      </c>
      <c r="E128" s="90">
        <v>2.5</v>
      </c>
      <c r="F128" s="52"/>
    </row>
    <row r="129" spans="1:6" ht="25.5" x14ac:dyDescent="0.2">
      <c r="A129" s="84" t="s">
        <v>131</v>
      </c>
      <c r="B129" s="55" t="str">
        <f>VLOOKUP(horas_estimada[[#This Row],[ID]],catalogo[],2,FALSE)</f>
        <v>LGPD</v>
      </c>
      <c r="C129" s="56" t="str">
        <f>VLOOKUP(horas_estimada[[#This Row],[ID]],catalogo[],3,FALSE)</f>
        <v>Inventário (Data Mapping) de dados pessoais e Relatório descritivo dos procedimentos e resultados  (Baixo Esforço)</v>
      </c>
      <c r="D129" s="59" t="s">
        <v>208</v>
      </c>
      <c r="E129" s="90">
        <v>0.5</v>
      </c>
      <c r="F129" s="52"/>
    </row>
    <row r="130" spans="1:6" ht="25.5" x14ac:dyDescent="0.2">
      <c r="A130" s="84" t="s">
        <v>131</v>
      </c>
      <c r="B130" s="55" t="str">
        <f>VLOOKUP(horas_estimada[[#This Row],[ID]],catalogo[],2,FALSE)</f>
        <v>LGPD</v>
      </c>
      <c r="C130" s="56" t="str">
        <f>VLOOKUP(horas_estimada[[#This Row],[ID]],catalogo[],3,FALSE)</f>
        <v>Inventário (Data Mapping) de dados pessoais e Relatório descritivo dos procedimentos e resultados  (Baixo Esforço)</v>
      </c>
      <c r="D130" s="59" t="s">
        <v>209</v>
      </c>
      <c r="E130" s="90">
        <v>5</v>
      </c>
      <c r="F130" s="52"/>
    </row>
    <row r="131" spans="1:6" ht="25.5" x14ac:dyDescent="0.2">
      <c r="A131" s="84" t="s">
        <v>131</v>
      </c>
      <c r="B131" s="55" t="str">
        <f>VLOOKUP(horas_estimada[[#This Row],[ID]],catalogo[],2,FALSE)</f>
        <v>LGPD</v>
      </c>
      <c r="C131" s="56" t="str">
        <f>VLOOKUP(horas_estimada[[#This Row],[ID]],catalogo[],3,FALSE)</f>
        <v>Inventário (Data Mapping) de dados pessoais e Relatório descritivo dos procedimentos e resultados  (Baixo Esforço)</v>
      </c>
      <c r="D131" s="59" t="s">
        <v>210</v>
      </c>
      <c r="E131" s="90">
        <v>0.5</v>
      </c>
      <c r="F131" s="52"/>
    </row>
    <row r="132" spans="1:6" ht="25.5" x14ac:dyDescent="0.2">
      <c r="A132" s="84" t="s">
        <v>131</v>
      </c>
      <c r="B132" s="55" t="str">
        <f>VLOOKUP(horas_estimada[[#This Row],[ID]],catalogo[],2,FALSE)</f>
        <v>LGPD</v>
      </c>
      <c r="C132" s="56" t="str">
        <f>VLOOKUP(horas_estimada[[#This Row],[ID]],catalogo[],3,FALSE)</f>
        <v>Inventário (Data Mapping) de dados pessoais e Relatório descritivo dos procedimentos e resultados  (Baixo Esforço)</v>
      </c>
      <c r="D132" s="59" t="s">
        <v>211</v>
      </c>
      <c r="E132" s="90">
        <f>0.63*F132</f>
        <v>13.481999999999999</v>
      </c>
      <c r="F132" s="52">
        <v>21.4</v>
      </c>
    </row>
    <row r="133" spans="1:6" ht="25.5" x14ac:dyDescent="0.2">
      <c r="A133" s="84" t="s">
        <v>131</v>
      </c>
      <c r="B133" s="55" t="str">
        <f>VLOOKUP(horas_estimada[[#This Row],[ID]],catalogo[],2,FALSE)</f>
        <v>LGPD</v>
      </c>
      <c r="C133" s="56" t="str">
        <f>VLOOKUP(horas_estimada[[#This Row],[ID]],catalogo[],3,FALSE)</f>
        <v>Inventário (Data Mapping) de dados pessoais e Relatório descritivo dos procedimentos e resultados  (Baixo Esforço)</v>
      </c>
      <c r="D133" s="59" t="s">
        <v>212</v>
      </c>
      <c r="E133" s="90">
        <v>4</v>
      </c>
      <c r="F133" s="52"/>
    </row>
    <row r="134" spans="1:6" ht="25.5" x14ac:dyDescent="0.2">
      <c r="A134" s="84" t="s">
        <v>131</v>
      </c>
      <c r="B134" s="55" t="str">
        <f>VLOOKUP(horas_estimada[[#This Row],[ID]],catalogo[],2,FALSE)</f>
        <v>LGPD</v>
      </c>
      <c r="C134" s="56" t="str">
        <f>VLOOKUP(horas_estimada[[#This Row],[ID]],catalogo[],3,FALSE)</f>
        <v>Inventário (Data Mapping) de dados pessoais e Relatório descritivo dos procedimentos e resultados  (Baixo Esforço)</v>
      </c>
      <c r="D134" s="59" t="s">
        <v>213</v>
      </c>
      <c r="E134" s="90">
        <v>1</v>
      </c>
      <c r="F134" s="52"/>
    </row>
    <row r="135" spans="1:6" ht="26.25" thickBot="1" x14ac:dyDescent="0.25">
      <c r="A135" s="85" t="s">
        <v>131</v>
      </c>
      <c r="B135" s="86" t="str">
        <f>VLOOKUP(horas_estimada[[#This Row],[ID]],catalogo[],2,FALSE)</f>
        <v>LGPD</v>
      </c>
      <c r="C135" s="87" t="str">
        <f>VLOOKUP(horas_estimada[[#This Row],[ID]],catalogo[],3,FALSE)</f>
        <v>Inventário (Data Mapping) de dados pessoais e Relatório descritivo dos procedimentos e resultados  (Baixo Esforço)</v>
      </c>
      <c r="D135" s="104" t="s">
        <v>214</v>
      </c>
      <c r="E135" s="89">
        <v>12</v>
      </c>
      <c r="F135" s="53"/>
    </row>
    <row r="136" spans="1:6" ht="25.5" x14ac:dyDescent="0.2">
      <c r="A136" s="61" t="s">
        <v>138</v>
      </c>
      <c r="B136" s="62" t="str">
        <f>VLOOKUP(horas_estimada[[#This Row],[ID]],catalogo[],2,FALSE)</f>
        <v>LGPD</v>
      </c>
      <c r="C136" s="63" t="str">
        <f>VLOOKUP(horas_estimada[[#This Row],[ID]],catalogo[],3,FALSE)</f>
        <v>Inventário (Data Mapping) de dados pessoais e Relatório descritivo dos procedimentos e resultados (Médio Esforço)</v>
      </c>
      <c r="D136" s="100" t="s">
        <v>206</v>
      </c>
      <c r="E136" s="101">
        <v>0.5</v>
      </c>
      <c r="F136" s="66"/>
    </row>
    <row r="137" spans="1:6" ht="25.5" x14ac:dyDescent="0.2">
      <c r="A137" s="67" t="s">
        <v>138</v>
      </c>
      <c r="B137" s="68" t="str">
        <f>VLOOKUP(horas_estimada[[#This Row],[ID]],catalogo[],2,FALSE)</f>
        <v>LGPD</v>
      </c>
      <c r="C137" s="69" t="str">
        <f>VLOOKUP(horas_estimada[[#This Row],[ID]],catalogo[],3,FALSE)</f>
        <v>Inventário (Data Mapping) de dados pessoais e Relatório descritivo dos procedimentos e resultados (Médio Esforço)</v>
      </c>
      <c r="D137" s="96" t="s">
        <v>215</v>
      </c>
      <c r="E137" s="97">
        <v>5</v>
      </c>
      <c r="F137" s="72"/>
    </row>
    <row r="138" spans="1:6" ht="25.5" x14ac:dyDescent="0.2">
      <c r="A138" s="67" t="s">
        <v>138</v>
      </c>
      <c r="B138" s="68" t="str">
        <f>VLOOKUP(horas_estimada[[#This Row],[ID]],catalogo[],2,FALSE)</f>
        <v>LGPD</v>
      </c>
      <c r="C138" s="69" t="str">
        <f>VLOOKUP(horas_estimada[[#This Row],[ID]],catalogo[],3,FALSE)</f>
        <v>Inventário (Data Mapping) de dados pessoais e Relatório descritivo dos procedimentos e resultados (Médio Esforço)</v>
      </c>
      <c r="D138" s="96" t="s">
        <v>216</v>
      </c>
      <c r="E138" s="97">
        <v>3</v>
      </c>
      <c r="F138" s="72"/>
    </row>
    <row r="139" spans="1:6" ht="25.5" x14ac:dyDescent="0.2">
      <c r="A139" s="67" t="s">
        <v>138</v>
      </c>
      <c r="B139" s="68" t="str">
        <f>VLOOKUP(horas_estimada[[#This Row],[ID]],catalogo[],2,FALSE)</f>
        <v>LGPD</v>
      </c>
      <c r="C139" s="69" t="str">
        <f>VLOOKUP(horas_estimada[[#This Row],[ID]],catalogo[],3,FALSE)</f>
        <v>Inventário (Data Mapping) de dados pessoais e Relatório descritivo dos procedimentos e resultados (Médio Esforço)</v>
      </c>
      <c r="D139" s="96" t="s">
        <v>217</v>
      </c>
      <c r="E139" s="97">
        <v>10</v>
      </c>
      <c r="F139" s="72"/>
    </row>
    <row r="140" spans="1:6" ht="25.5" x14ac:dyDescent="0.2">
      <c r="A140" s="67" t="s">
        <v>138</v>
      </c>
      <c r="B140" s="68" t="str">
        <f>VLOOKUP(horas_estimada[[#This Row],[ID]],catalogo[],2,FALSE)</f>
        <v>LGPD</v>
      </c>
      <c r="C140" s="69" t="str">
        <f>VLOOKUP(horas_estimada[[#This Row],[ID]],catalogo[],3,FALSE)</f>
        <v>Inventário (Data Mapping) de dados pessoais e Relatório descritivo dos procedimentos e resultados (Médio Esforço)</v>
      </c>
      <c r="D140" s="96" t="s">
        <v>210</v>
      </c>
      <c r="E140" s="97">
        <v>0.5</v>
      </c>
      <c r="F140" s="72"/>
    </row>
    <row r="141" spans="1:6" ht="25.5" x14ac:dyDescent="0.2">
      <c r="A141" s="67" t="s">
        <v>138</v>
      </c>
      <c r="B141" s="68" t="str">
        <f>VLOOKUP(horas_estimada[[#This Row],[ID]],catalogo[],2,FALSE)</f>
        <v>LGPD</v>
      </c>
      <c r="C141" s="69" t="str">
        <f>VLOOKUP(horas_estimada[[#This Row],[ID]],catalogo[],3,FALSE)</f>
        <v>Inventário (Data Mapping) de dados pessoais e Relatório descritivo dos procedimentos e resultados (Médio Esforço)</v>
      </c>
      <c r="D141" s="96" t="s">
        <v>211</v>
      </c>
      <c r="E141" s="97">
        <f>0.63*F141</f>
        <v>26.901000000000003</v>
      </c>
      <c r="F141" s="72">
        <v>42.7</v>
      </c>
    </row>
    <row r="142" spans="1:6" ht="25.5" x14ac:dyDescent="0.2">
      <c r="A142" s="67" t="s">
        <v>138</v>
      </c>
      <c r="B142" s="68" t="str">
        <f>VLOOKUP(horas_estimada[[#This Row],[ID]],catalogo[],2,FALSE)</f>
        <v>LGPD</v>
      </c>
      <c r="C142" s="69" t="str">
        <f>VLOOKUP(horas_estimada[[#This Row],[ID]],catalogo[],3,FALSE)</f>
        <v>Inventário (Data Mapping) de dados pessoais e Relatório descritivo dos procedimentos e resultados (Médio Esforço)</v>
      </c>
      <c r="D142" s="96" t="s">
        <v>218</v>
      </c>
      <c r="E142" s="97">
        <v>8</v>
      </c>
      <c r="F142" s="72"/>
    </row>
    <row r="143" spans="1:6" ht="25.5" x14ac:dyDescent="0.2">
      <c r="A143" s="67" t="s">
        <v>138</v>
      </c>
      <c r="B143" s="68" t="str">
        <f>VLOOKUP(horas_estimada[[#This Row],[ID]],catalogo[],2,FALSE)</f>
        <v>LGPD</v>
      </c>
      <c r="C143" s="69" t="str">
        <f>VLOOKUP(horas_estimada[[#This Row],[ID]],catalogo[],3,FALSE)</f>
        <v>Inventário (Data Mapping) de dados pessoais e Relatório descritivo dos procedimentos e resultados (Médio Esforço)</v>
      </c>
      <c r="D143" s="96" t="s">
        <v>213</v>
      </c>
      <c r="E143" s="97">
        <v>1</v>
      </c>
      <c r="F143" s="72"/>
    </row>
    <row r="144" spans="1:6" ht="26.25" thickBot="1" x14ac:dyDescent="0.25">
      <c r="A144" s="73" t="s">
        <v>138</v>
      </c>
      <c r="B144" s="74" t="str">
        <f>VLOOKUP(horas_estimada[[#This Row],[ID]],catalogo[],2,FALSE)</f>
        <v>LGPD</v>
      </c>
      <c r="C144" s="75" t="str">
        <f>VLOOKUP(horas_estimada[[#This Row],[ID]],catalogo[],3,FALSE)</f>
        <v>Inventário (Data Mapping) de dados pessoais e Relatório descritivo dos procedimentos e resultados (Médio Esforço)</v>
      </c>
      <c r="D144" s="105" t="s">
        <v>214</v>
      </c>
      <c r="E144" s="77">
        <v>12</v>
      </c>
      <c r="F144" s="78"/>
    </row>
    <row r="145" spans="1:6" ht="25.5" x14ac:dyDescent="0.2">
      <c r="A145" s="79" t="s">
        <v>141</v>
      </c>
      <c r="B145" s="80" t="str">
        <f>VLOOKUP(horas_estimada[[#This Row],[ID]],catalogo[],2,FALSE)</f>
        <v>LGPD</v>
      </c>
      <c r="C145" s="81" t="str">
        <f>VLOOKUP(horas_estimada[[#This Row],[ID]],catalogo[],3,FALSE)</f>
        <v>Inventário (Data Mapping) em excel de dados pessoais e Relatório descritivo dos procedimentos e resultados (Alto Esforço)</v>
      </c>
      <c r="D145" s="103" t="s">
        <v>206</v>
      </c>
      <c r="E145" s="98">
        <v>0.5</v>
      </c>
      <c r="F145" s="51"/>
    </row>
    <row r="146" spans="1:6" ht="25.5" x14ac:dyDescent="0.2">
      <c r="A146" s="84" t="s">
        <v>141</v>
      </c>
      <c r="B146" s="55" t="str">
        <f>VLOOKUP(horas_estimada[[#This Row],[ID]],catalogo[],2,FALSE)</f>
        <v>LGPD</v>
      </c>
      <c r="C146" s="56" t="str">
        <f>VLOOKUP(horas_estimada[[#This Row],[ID]],catalogo[],3,FALSE)</f>
        <v>Inventário (Data Mapping) em excel de dados pessoais e Relatório descritivo dos procedimentos e resultados (Alto Esforço)</v>
      </c>
      <c r="D146" s="59" t="s">
        <v>219</v>
      </c>
      <c r="E146" s="90">
        <v>7.5</v>
      </c>
      <c r="F146" s="52"/>
    </row>
    <row r="147" spans="1:6" ht="25.5" x14ac:dyDescent="0.2">
      <c r="A147" s="84" t="s">
        <v>141</v>
      </c>
      <c r="B147" s="55" t="str">
        <f>VLOOKUP(horas_estimada[[#This Row],[ID]],catalogo[],2,FALSE)</f>
        <v>LGPD</v>
      </c>
      <c r="C147" s="56" t="str">
        <f>VLOOKUP(horas_estimada[[#This Row],[ID]],catalogo[],3,FALSE)</f>
        <v>Inventário (Data Mapping) em excel de dados pessoais e Relatório descritivo dos procedimentos e resultados (Alto Esforço)</v>
      </c>
      <c r="D147" s="59" t="s">
        <v>220</v>
      </c>
      <c r="E147" s="90">
        <v>4</v>
      </c>
      <c r="F147" s="52"/>
    </row>
    <row r="148" spans="1:6" ht="25.5" x14ac:dyDescent="0.2">
      <c r="A148" s="84" t="s">
        <v>141</v>
      </c>
      <c r="B148" s="55" t="str">
        <f>VLOOKUP(horas_estimada[[#This Row],[ID]],catalogo[],2,FALSE)</f>
        <v>LGPD</v>
      </c>
      <c r="C148" s="56" t="str">
        <f>VLOOKUP(horas_estimada[[#This Row],[ID]],catalogo[],3,FALSE)</f>
        <v>Inventário (Data Mapping) em excel de dados pessoais e Relatório descritivo dos procedimentos e resultados (Alto Esforço)</v>
      </c>
      <c r="D148" s="59" t="s">
        <v>221</v>
      </c>
      <c r="E148" s="90">
        <v>15</v>
      </c>
      <c r="F148" s="52"/>
    </row>
    <row r="149" spans="1:6" ht="25.5" x14ac:dyDescent="0.2">
      <c r="A149" s="84" t="s">
        <v>141</v>
      </c>
      <c r="B149" s="55" t="str">
        <f>VLOOKUP(horas_estimada[[#This Row],[ID]],catalogo[],2,FALSE)</f>
        <v>LGPD</v>
      </c>
      <c r="C149" s="56" t="str">
        <f>VLOOKUP(horas_estimada[[#This Row],[ID]],catalogo[],3,FALSE)</f>
        <v>Inventário (Data Mapping) em excel de dados pessoais e Relatório descritivo dos procedimentos e resultados (Alto Esforço)</v>
      </c>
      <c r="D149" s="59" t="s">
        <v>210</v>
      </c>
      <c r="E149" s="90">
        <v>0.5</v>
      </c>
      <c r="F149" s="52"/>
    </row>
    <row r="150" spans="1:6" ht="25.5" x14ac:dyDescent="0.2">
      <c r="A150" s="84" t="s">
        <v>141</v>
      </c>
      <c r="B150" s="55" t="str">
        <f>VLOOKUP(horas_estimada[[#This Row],[ID]],catalogo[],2,FALSE)</f>
        <v>LGPD</v>
      </c>
      <c r="C150" s="56" t="str">
        <f>VLOOKUP(horas_estimada[[#This Row],[ID]],catalogo[],3,FALSE)</f>
        <v>Inventário (Data Mapping) em excel de dados pessoais e Relatório descritivo dos procedimentos e resultados (Alto Esforço)</v>
      </c>
      <c r="D150" s="59" t="s">
        <v>211</v>
      </c>
      <c r="E150" s="90">
        <f>0.63*F150</f>
        <v>57.204000000000001</v>
      </c>
      <c r="F150" s="52">
        <v>90.8</v>
      </c>
    </row>
    <row r="151" spans="1:6" ht="25.5" x14ac:dyDescent="0.2">
      <c r="A151" s="84" t="s">
        <v>141</v>
      </c>
      <c r="B151" s="55" t="str">
        <f>VLOOKUP(horas_estimada[[#This Row],[ID]],catalogo[],2,FALSE)</f>
        <v>LGPD</v>
      </c>
      <c r="C151" s="56" t="str">
        <f>VLOOKUP(horas_estimada[[#This Row],[ID]],catalogo[],3,FALSE)</f>
        <v>Inventário (Data Mapping) em excel de dados pessoais e Relatório descritivo dos procedimentos e resultados (Alto Esforço)</v>
      </c>
      <c r="D151" s="59" t="s">
        <v>222</v>
      </c>
      <c r="E151" s="90">
        <v>12</v>
      </c>
      <c r="F151" s="52"/>
    </row>
    <row r="152" spans="1:6" ht="25.5" x14ac:dyDescent="0.2">
      <c r="A152" s="84" t="s">
        <v>141</v>
      </c>
      <c r="B152" s="55" t="str">
        <f>VLOOKUP(horas_estimada[[#This Row],[ID]],catalogo[],2,FALSE)</f>
        <v>LGPD</v>
      </c>
      <c r="C152" s="56" t="str">
        <f>VLOOKUP(horas_estimada[[#This Row],[ID]],catalogo[],3,FALSE)</f>
        <v>Inventário (Data Mapping) em excel de dados pessoais e Relatório descritivo dos procedimentos e resultados (Alto Esforço)</v>
      </c>
      <c r="D152" s="59" t="s">
        <v>213</v>
      </c>
      <c r="E152" s="90">
        <v>1</v>
      </c>
      <c r="F152" s="52"/>
    </row>
    <row r="153" spans="1:6" ht="26.25" thickBot="1" x14ac:dyDescent="0.25">
      <c r="A153" s="85" t="s">
        <v>141</v>
      </c>
      <c r="B153" s="86" t="str">
        <f>VLOOKUP(horas_estimada[[#This Row],[ID]],catalogo[],2,FALSE)</f>
        <v>LGPD</v>
      </c>
      <c r="C153" s="87" t="str">
        <f>VLOOKUP(horas_estimada[[#This Row],[ID]],catalogo[],3,FALSE)</f>
        <v>Inventário (Data Mapping) em excel de dados pessoais e Relatório descritivo dos procedimentos e resultados (Alto Esforço)</v>
      </c>
      <c r="D153" s="104" t="s">
        <v>214</v>
      </c>
      <c r="E153" s="89">
        <v>12</v>
      </c>
      <c r="F153" s="53"/>
    </row>
    <row r="154" spans="1:6" x14ac:dyDescent="0.2">
      <c r="A154" s="45"/>
      <c r="B154" s="45"/>
      <c r="C154" s="37"/>
      <c r="D154" s="46"/>
      <c r="E154" s="47"/>
      <c r="F154" s="48"/>
    </row>
  </sheetData>
  <mergeCells count="1">
    <mergeCell ref="A1:F1"/>
  </mergeCells>
  <pageMargins left="0.511811024" right="0.511811024" top="0.78740157499999996" bottom="0.78740157499999996" header="0.31496062000000002" footer="0.31496062000000002"/>
  <pageSetup paperSize="9" orientation="portrait"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6168F8-73F9-435D-AE7B-484EEA25A816}">
  <dimension ref="A1:I7"/>
  <sheetViews>
    <sheetView showGridLines="0" workbookViewId="0">
      <selection activeCell="C26" sqref="C26"/>
    </sheetView>
  </sheetViews>
  <sheetFormatPr defaultRowHeight="15" x14ac:dyDescent="0.25"/>
  <cols>
    <col min="1" max="1" width="35.5703125" bestFit="1" customWidth="1"/>
    <col min="2" max="2" width="21.140625" customWidth="1"/>
    <col min="3" max="3" width="27.140625" customWidth="1"/>
  </cols>
  <sheetData>
    <row r="1" spans="1:9" ht="47.25" customHeight="1" x14ac:dyDescent="0.25">
      <c r="A1" s="108" t="s">
        <v>223</v>
      </c>
      <c r="B1" s="108"/>
      <c r="C1" s="108"/>
      <c r="D1" s="108"/>
      <c r="E1" s="108"/>
      <c r="F1" s="108"/>
      <c r="G1" s="108"/>
      <c r="H1" s="108"/>
      <c r="I1" s="108"/>
    </row>
    <row r="2" spans="1:9" x14ac:dyDescent="0.25">
      <c r="A2" s="8" t="s">
        <v>224</v>
      </c>
      <c r="B2" s="9" t="s">
        <v>225</v>
      </c>
      <c r="C2" s="4" t="s">
        <v>226</v>
      </c>
    </row>
    <row r="3" spans="1:9" x14ac:dyDescent="0.25">
      <c r="A3" s="7" t="s">
        <v>51</v>
      </c>
      <c r="B3" s="10">
        <v>1</v>
      </c>
      <c r="C3" s="3">
        <v>53.91</v>
      </c>
    </row>
    <row r="4" spans="1:9" x14ac:dyDescent="0.25">
      <c r="A4" s="7" t="s">
        <v>55</v>
      </c>
      <c r="B4" s="10">
        <v>1.41</v>
      </c>
      <c r="C4" s="3">
        <v>76.239999999999995</v>
      </c>
    </row>
    <row r="5" spans="1:9" x14ac:dyDescent="0.25">
      <c r="A5" s="7" t="s">
        <v>25</v>
      </c>
      <c r="B5" s="10">
        <v>2.1</v>
      </c>
      <c r="C5" s="3">
        <v>113.07</v>
      </c>
    </row>
    <row r="6" spans="1:9" x14ac:dyDescent="0.25">
      <c r="A6" s="7" t="s">
        <v>123</v>
      </c>
      <c r="B6" s="10">
        <v>1.45</v>
      </c>
      <c r="C6" s="3">
        <v>78.150000000000006</v>
      </c>
    </row>
    <row r="7" spans="1:9" x14ac:dyDescent="0.25">
      <c r="A7" s="31" t="s">
        <v>227</v>
      </c>
    </row>
  </sheetData>
  <mergeCells count="1">
    <mergeCell ref="A1:I1"/>
  </mergeCells>
  <pageMargins left="0.511811024" right="0.511811024" top="0.78740157499999996" bottom="0.78740157499999996" header="0.31496062000000002" footer="0.31496062000000002"/>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66525972A7717747967F561F7588620C" ma:contentTypeVersion="2" ma:contentTypeDescription="Crie um novo documento." ma:contentTypeScope="" ma:versionID="c94df36eed991291a72dacf548383c6a">
  <xsd:schema xmlns:xsd="http://www.w3.org/2001/XMLSchema" xmlns:xs="http://www.w3.org/2001/XMLSchema" xmlns:p="http://schemas.microsoft.com/office/2006/metadata/properties" xmlns:ns2="8b27bd9c-2db1-45a5-bd2a-509a58a066c2" targetNamespace="http://schemas.microsoft.com/office/2006/metadata/properties" ma:root="true" ma:fieldsID="799da4182a67600cf06120b6042670b3" ns2:_="">
    <xsd:import namespace="8b27bd9c-2db1-45a5-bd2a-509a58a066c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27bd9c-2db1-45a5-bd2a-509a58a066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A7F680-3F54-43DC-9CEE-E7A06823A097}">
  <ds:schemaRefs>
    <ds:schemaRef ds:uri="http://schemas.microsoft.com/sharepoint/v3/contenttype/forms"/>
  </ds:schemaRefs>
</ds:datastoreItem>
</file>

<file path=customXml/itemProps2.xml><?xml version="1.0" encoding="utf-8"?>
<ds:datastoreItem xmlns:ds="http://schemas.openxmlformats.org/officeDocument/2006/customXml" ds:itemID="{B3A2C487-7861-4DB7-9F83-C8B50AA035BA}">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8b27bd9c-2db1-45a5-bd2a-509a58a066c2"/>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905BEA55-A4BF-46BD-B72D-2C93F01C81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27bd9c-2db1-45a5-bd2a-509a58a066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Catálogo de Serviços Preço UST</vt:lpstr>
      <vt:lpstr>Horas estimadas</vt:lpstr>
      <vt:lpstr>Perfis profissionais</vt:lpstr>
    </vt:vector>
  </TitlesOfParts>
  <Manager/>
  <Company>ANAC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Milton Pereira de Souza</dc:creator>
  <cp:keywords/>
  <dc:description/>
  <cp:lastModifiedBy>Alexandre Magnus Fernandes Diniz</cp:lastModifiedBy>
  <cp:revision/>
  <dcterms:created xsi:type="dcterms:W3CDTF">2022-04-29T11:52:30Z</dcterms:created>
  <dcterms:modified xsi:type="dcterms:W3CDTF">2022-11-07T19:00:58Z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0x01010066525972A7717747967F561F7588620C</vt:lpwstr>
  </property>
</Properties>
</file>